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834"/>
  </bookViews>
  <sheets>
    <sheet name="SUMMARY" sheetId="1" r:id="rId1"/>
    <sheet name="14440178" sheetId="40" r:id="rId2"/>
    <sheet name="14436042" sheetId="39" r:id="rId3"/>
    <sheet name="14418920" sheetId="37" r:id="rId4"/>
    <sheet name="14316398" sheetId="6" r:id="rId5"/>
    <sheet name="14334819" sheetId="11" r:id="rId6"/>
    <sheet name="14335074" sheetId="12" r:id="rId7"/>
    <sheet name="14347145" sheetId="14" r:id="rId8"/>
    <sheet name="14351541" sheetId="15" r:id="rId9"/>
    <sheet name="14351546" sheetId="16" r:id="rId10"/>
    <sheet name="14360720" sheetId="17" r:id="rId11"/>
    <sheet name="14376133" sheetId="20" r:id="rId12"/>
    <sheet name="14404660" sheetId="33" r:id="rId13"/>
  </sheets>
  <definedNames>
    <definedName name="_xlnm._FilterDatabase" localSheetId="4" hidden="1">'14316398'!$A$1:$N$140</definedName>
    <definedName name="_xlnm._FilterDatabase" localSheetId="0" hidden="1">SUMMARY!$A$2:$G$15</definedName>
    <definedName name="_xlnm.Print_Area" localSheetId="0">SUMMARY!$A$1:$G$15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37" l="1"/>
  <c r="G15" i="1"/>
  <c r="F15" i="1"/>
  <c r="E15" i="1"/>
  <c r="N285" i="37" l="1"/>
  <c r="N101" i="37"/>
  <c r="N300" i="37"/>
  <c r="N286" i="37"/>
  <c r="N100" i="37"/>
  <c r="N99" i="37"/>
  <c r="N299" i="37"/>
  <c r="N288" i="37"/>
  <c r="N289" i="37"/>
  <c r="N290" i="37"/>
  <c r="N273" i="37"/>
  <c r="N272" i="37"/>
  <c r="N274" i="37"/>
  <c r="N271" i="37"/>
  <c r="N277" i="37"/>
  <c r="N276" i="37"/>
  <c r="N275" i="37"/>
  <c r="N97" i="37"/>
  <c r="N278" i="37"/>
  <c r="N96" i="37"/>
  <c r="N169" i="37"/>
  <c r="N281" i="37"/>
  <c r="N282" i="37"/>
  <c r="N279" i="37"/>
  <c r="N280" i="37"/>
  <c r="N145" i="37"/>
  <c r="N146" i="37"/>
  <c r="N150" i="37"/>
  <c r="N149" i="37"/>
  <c r="N148" i="37"/>
  <c r="N147" i="37"/>
  <c r="N151" i="37"/>
  <c r="N144" i="37"/>
  <c r="N138" i="37"/>
  <c r="N137" i="37"/>
  <c r="N139" i="37"/>
  <c r="N140" i="37"/>
  <c r="N287" i="37"/>
  <c r="N284" i="37"/>
  <c r="N283" i="37"/>
  <c r="N314" i="37"/>
  <c r="N310" i="37"/>
  <c r="N153" i="37"/>
  <c r="N98" i="37"/>
  <c r="N161" i="37"/>
  <c r="N162" i="37"/>
  <c r="N124" i="37"/>
  <c r="N125" i="37"/>
  <c r="N126" i="37"/>
  <c r="N311" i="37"/>
  <c r="N306" i="37"/>
  <c r="N123" i="37"/>
  <c r="N121" i="37"/>
  <c r="N127" i="37"/>
  <c r="N120" i="37"/>
  <c r="N129" i="37"/>
  <c r="N313" i="37"/>
  <c r="N128" i="37"/>
  <c r="N122" i="37"/>
  <c r="N115" i="37"/>
  <c r="N312" i="37"/>
  <c r="N152" i="37"/>
  <c r="N308" i="37"/>
  <c r="N307" i="37"/>
  <c r="N309" i="37"/>
  <c r="N157" i="37"/>
  <c r="N155" i="37"/>
  <c r="N158" i="37"/>
  <c r="N156" i="37"/>
  <c r="N160" i="37"/>
  <c r="N154" i="37"/>
  <c r="N159" i="37"/>
  <c r="N103" i="37"/>
  <c r="N102" i="37"/>
  <c r="N317" i="37"/>
  <c r="N305" i="37"/>
  <c r="N119" i="37"/>
  <c r="N184" i="37"/>
  <c r="N185" i="37"/>
  <c r="N165" i="37"/>
  <c r="N203" i="37"/>
  <c r="N222" i="37"/>
  <c r="N250" i="37"/>
  <c r="N246" i="37"/>
  <c r="N248" i="37"/>
  <c r="N249" i="37"/>
  <c r="N253" i="37"/>
  <c r="N247" i="37"/>
  <c r="N204" i="37"/>
  <c r="N252" i="37"/>
  <c r="N251" i="37"/>
  <c r="N182" i="37"/>
  <c r="N256" i="37"/>
  <c r="N255" i="37"/>
  <c r="N254" i="37"/>
  <c r="N205" i="37"/>
  <c r="N206" i="37"/>
  <c r="N269" i="37"/>
  <c r="N220" i="37"/>
  <c r="N209" i="37"/>
  <c r="N216" i="37"/>
  <c r="N219" i="37"/>
  <c r="N221" i="37"/>
  <c r="N214" i="37"/>
  <c r="N208" i="37"/>
  <c r="N217" i="37"/>
  <c r="N211" i="37"/>
  <c r="N207" i="37"/>
  <c r="N212" i="37"/>
  <c r="N215" i="37"/>
  <c r="N218" i="37"/>
  <c r="N210" i="37"/>
  <c r="N213" i="37"/>
  <c r="N270" i="37"/>
  <c r="N164" i="37"/>
  <c r="N200" i="37"/>
  <c r="N196" i="37"/>
  <c r="N192" i="37"/>
  <c r="N194" i="37"/>
  <c r="N202" i="37"/>
  <c r="N198" i="37"/>
  <c r="N193" i="37"/>
  <c r="N195" i="37"/>
  <c r="N199" i="37"/>
  <c r="N197" i="37"/>
  <c r="N178" i="37"/>
  <c r="N257" i="37"/>
  <c r="N186" i="37"/>
  <c r="N188" i="37"/>
  <c r="N191" i="37"/>
  <c r="N189" i="37"/>
  <c r="N187" i="37"/>
  <c r="N190" i="37"/>
  <c r="N177" i="37"/>
  <c r="N171" i="37"/>
  <c r="N170" i="37"/>
  <c r="N172" i="37"/>
  <c r="N173" i="37"/>
  <c r="N268" i="37"/>
  <c r="N179" i="37"/>
  <c r="N175" i="37"/>
  <c r="N167" i="37"/>
  <c r="N166" i="37"/>
  <c r="N180" i="37"/>
  <c r="N223" i="37"/>
  <c r="N181" i="37"/>
  <c r="N183" i="37"/>
  <c r="N174" i="37"/>
  <c r="N266" i="37"/>
  <c r="N259" i="37"/>
  <c r="N261" i="37"/>
  <c r="N267" i="37"/>
  <c r="N265" i="37"/>
  <c r="N260" i="37"/>
  <c r="N264" i="37"/>
  <c r="N262" i="37"/>
  <c r="N263" i="37"/>
  <c r="N244" i="37"/>
  <c r="N243" i="37"/>
  <c r="N235" i="37"/>
  <c r="N239" i="37"/>
  <c r="N234" i="37"/>
  <c r="N238" i="37"/>
  <c r="N237" i="37"/>
  <c r="N240" i="37"/>
  <c r="N241" i="37"/>
  <c r="N236" i="37"/>
  <c r="N242" i="37"/>
  <c r="N201" i="37"/>
  <c r="N245" i="37"/>
  <c r="N228" i="37"/>
  <c r="N232" i="37"/>
  <c r="N231" i="37"/>
  <c r="N229" i="37"/>
  <c r="N227" i="37"/>
  <c r="N230" i="37"/>
  <c r="N176" i="37"/>
  <c r="N258" i="37"/>
  <c r="N163" i="37"/>
  <c r="N226" i="37"/>
  <c r="N224" i="37"/>
  <c r="N225" i="37"/>
  <c r="N233" i="37"/>
  <c r="N133" i="37"/>
  <c r="N132" i="37"/>
  <c r="N131" i="37"/>
  <c r="N134" i="37"/>
  <c r="N130" i="37"/>
  <c r="N142" i="37"/>
  <c r="N141" i="37"/>
  <c r="N136" i="37"/>
  <c r="N135" i="37"/>
  <c r="N143" i="37"/>
  <c r="N110" i="37"/>
  <c r="N107" i="37"/>
  <c r="N108" i="37"/>
  <c r="N106" i="37"/>
  <c r="N113" i="37"/>
  <c r="N112" i="37"/>
  <c r="N109" i="37"/>
  <c r="N111" i="37"/>
  <c r="N114" i="37"/>
  <c r="N292" i="37"/>
  <c r="N296" i="37"/>
  <c r="N295" i="37"/>
  <c r="N291" i="37"/>
  <c r="N293" i="37"/>
  <c r="N294" i="37"/>
  <c r="N116" i="37"/>
  <c r="N117" i="37"/>
  <c r="N118" i="37"/>
  <c r="N316" i="37"/>
  <c r="N298" i="37"/>
  <c r="N297" i="37"/>
  <c r="N318" i="37"/>
  <c r="N302" i="37"/>
  <c r="N320" i="37"/>
  <c r="N301" i="37"/>
  <c r="N104" i="37"/>
  <c r="N315" i="37"/>
  <c r="N79" i="37"/>
  <c r="N76" i="37"/>
  <c r="N66" i="37"/>
  <c r="N77" i="37"/>
  <c r="N78" i="37"/>
  <c r="N80" i="37"/>
  <c r="N83" i="37"/>
  <c r="N84" i="37"/>
  <c r="N75" i="37"/>
  <c r="N69" i="37"/>
  <c r="N81" i="37"/>
  <c r="N74" i="37"/>
  <c r="N73" i="37"/>
  <c r="N67" i="37"/>
  <c r="N68" i="37"/>
  <c r="N82" i="37"/>
  <c r="N65" i="37"/>
  <c r="N64" i="37"/>
  <c r="N70" i="37"/>
  <c r="N72" i="37"/>
  <c r="N71" i="37"/>
  <c r="N92" i="37"/>
  <c r="N93" i="37"/>
  <c r="N88" i="37"/>
  <c r="N91" i="37"/>
  <c r="N89" i="37"/>
  <c r="N90" i="37"/>
  <c r="N87" i="37"/>
  <c r="N95" i="37"/>
  <c r="N94" i="37"/>
  <c r="N85" i="37"/>
  <c r="N86" i="37"/>
  <c r="N319" i="37"/>
  <c r="N304" i="37"/>
  <c r="N303" i="37"/>
  <c r="N52" i="37"/>
  <c r="N53" i="37"/>
  <c r="N33" i="37"/>
  <c r="N32" i="37"/>
  <c r="N63" i="37"/>
  <c r="N62" i="37"/>
  <c r="N5" i="37"/>
  <c r="N4" i="37"/>
  <c r="N3" i="37"/>
  <c r="N13" i="37"/>
  <c r="N34" i="37"/>
  <c r="N35" i="37"/>
  <c r="N36" i="37"/>
  <c r="N2" i="37"/>
  <c r="N9" i="37"/>
  <c r="N8" i="37"/>
  <c r="N11" i="37"/>
  <c r="N12" i="37"/>
  <c r="N10" i="37"/>
  <c r="N61" i="37"/>
  <c r="N46" i="37"/>
  <c r="N45" i="37"/>
  <c r="N19" i="37"/>
  <c r="N44" i="37"/>
  <c r="N43" i="37"/>
  <c r="N42" i="37"/>
  <c r="N31" i="37"/>
  <c r="N18" i="37"/>
  <c r="N51" i="37"/>
  <c r="N50" i="37"/>
  <c r="N39" i="37"/>
  <c r="N40" i="37"/>
  <c r="N41" i="37"/>
  <c r="N27" i="37"/>
  <c r="N25" i="37"/>
  <c r="N24" i="37"/>
  <c r="N28" i="37"/>
  <c r="N26" i="37"/>
  <c r="N29" i="37"/>
  <c r="N30" i="37"/>
  <c r="N22" i="37"/>
  <c r="N23" i="37"/>
  <c r="N21" i="37"/>
  <c r="N20" i="37"/>
  <c r="N47" i="37"/>
  <c r="N48" i="37"/>
  <c r="N49" i="37"/>
  <c r="N56" i="37"/>
  <c r="N55" i="37"/>
  <c r="N54" i="37"/>
  <c r="N59" i="37"/>
  <c r="N57" i="37"/>
  <c r="N58" i="37"/>
  <c r="N6" i="37"/>
  <c r="N15" i="37"/>
  <c r="N14" i="37"/>
  <c r="N16" i="37"/>
  <c r="N17" i="37"/>
  <c r="N37" i="37"/>
  <c r="N38" i="37"/>
  <c r="N60" i="37"/>
  <c r="N180" i="39"/>
  <c r="N179" i="39"/>
  <c r="N178" i="39"/>
  <c r="N177" i="39"/>
  <c r="N176" i="39"/>
  <c r="N175" i="39"/>
  <c r="N174" i="39"/>
  <c r="N173" i="39"/>
  <c r="N172" i="39"/>
  <c r="N171" i="39"/>
  <c r="N170" i="39"/>
  <c r="N169" i="39"/>
  <c r="N168" i="39"/>
  <c r="N167" i="39"/>
  <c r="N166" i="39"/>
  <c r="N165" i="39"/>
  <c r="N164" i="39"/>
  <c r="N163" i="39"/>
  <c r="N162" i="39"/>
  <c r="N161" i="39"/>
  <c r="N160" i="39"/>
  <c r="N159" i="39"/>
  <c r="N158" i="39"/>
  <c r="N157" i="39"/>
  <c r="N156" i="39"/>
  <c r="N155" i="39"/>
  <c r="N154" i="39"/>
  <c r="N153" i="39"/>
  <c r="N152" i="39"/>
  <c r="N151" i="39"/>
  <c r="N150" i="39"/>
  <c r="N149" i="39"/>
  <c r="N148" i="39"/>
  <c r="N147" i="39"/>
  <c r="N146" i="39"/>
  <c r="N145" i="39"/>
  <c r="N144" i="39"/>
  <c r="N143" i="39"/>
  <c r="N142" i="39"/>
  <c r="N141" i="39"/>
  <c r="N140" i="39"/>
  <c r="N139" i="39"/>
  <c r="N138" i="39"/>
  <c r="N137" i="39"/>
  <c r="N136" i="39"/>
  <c r="N135" i="39"/>
  <c r="N134" i="39"/>
  <c r="N133" i="39"/>
  <c r="N132" i="39"/>
  <c r="N131" i="39"/>
  <c r="N130" i="39"/>
  <c r="N129" i="39"/>
  <c r="N128" i="39"/>
  <c r="N127" i="39"/>
  <c r="N126" i="39"/>
  <c r="N125" i="39"/>
  <c r="N124" i="39"/>
  <c r="N123" i="39"/>
  <c r="N122" i="39"/>
  <c r="N121" i="39"/>
  <c r="N120" i="39"/>
  <c r="N119" i="39"/>
  <c r="N118" i="39"/>
  <c r="N117" i="39"/>
  <c r="N116" i="39"/>
  <c r="N115" i="39"/>
  <c r="N114" i="39"/>
  <c r="N113" i="39"/>
  <c r="N112" i="39"/>
  <c r="N111" i="39"/>
  <c r="N110" i="39"/>
  <c r="N109" i="39"/>
  <c r="N108" i="39"/>
  <c r="N107" i="39"/>
  <c r="N106" i="39"/>
  <c r="N105" i="39"/>
  <c r="N104" i="39"/>
  <c r="N103" i="39"/>
  <c r="N102" i="39"/>
  <c r="N101" i="39"/>
  <c r="N100" i="39"/>
  <c r="N99" i="39"/>
  <c r="N98" i="39"/>
  <c r="N97" i="39"/>
  <c r="N96" i="39"/>
  <c r="N95" i="39"/>
  <c r="N94" i="39"/>
  <c r="N93" i="39"/>
  <c r="N92" i="39"/>
  <c r="N91" i="39"/>
  <c r="N90" i="39"/>
  <c r="N89" i="39"/>
  <c r="N88" i="39"/>
  <c r="N87" i="39"/>
  <c r="N86" i="39"/>
  <c r="N85" i="39"/>
  <c r="N84" i="39"/>
  <c r="N83" i="39"/>
  <c r="N82" i="39"/>
  <c r="N81" i="39"/>
  <c r="N80" i="39"/>
  <c r="N79" i="39"/>
  <c r="N78" i="39"/>
  <c r="N77" i="39"/>
  <c r="N76" i="39"/>
  <c r="N75" i="39"/>
  <c r="N74" i="39"/>
  <c r="N73" i="39"/>
  <c r="N72" i="39"/>
  <c r="N71" i="39"/>
  <c r="N70" i="39"/>
  <c r="N69" i="39"/>
  <c r="N68" i="39"/>
  <c r="N67" i="39"/>
  <c r="N66" i="39"/>
  <c r="N65" i="39"/>
  <c r="N64" i="39"/>
  <c r="N63" i="39"/>
  <c r="N62" i="39"/>
  <c r="N61" i="39"/>
  <c r="N60" i="39"/>
  <c r="N59" i="39"/>
  <c r="N58" i="39"/>
  <c r="N57" i="39"/>
  <c r="N56" i="39"/>
  <c r="N55" i="39"/>
  <c r="N54" i="39"/>
  <c r="N53" i="39"/>
  <c r="N52" i="39"/>
  <c r="N51" i="39"/>
  <c r="N50" i="39"/>
  <c r="N49" i="39"/>
  <c r="N48" i="39"/>
  <c r="N47" i="39"/>
  <c r="N46" i="39"/>
  <c r="N45" i="39"/>
  <c r="N44" i="39"/>
  <c r="N43" i="39"/>
  <c r="N42" i="39"/>
  <c r="N41" i="39"/>
  <c r="N40" i="39"/>
  <c r="N39" i="39"/>
  <c r="N38" i="39"/>
  <c r="N37" i="39"/>
  <c r="N36" i="39"/>
  <c r="N35" i="39"/>
  <c r="N34" i="39"/>
  <c r="N33" i="39"/>
  <c r="N32" i="39"/>
  <c r="N31" i="39"/>
  <c r="N30" i="39"/>
  <c r="N29" i="39"/>
  <c r="N28" i="39"/>
  <c r="N27" i="39"/>
  <c r="N26" i="39"/>
  <c r="N25" i="39"/>
  <c r="N24" i="39"/>
  <c r="N23" i="39"/>
  <c r="N22" i="39"/>
  <c r="N21" i="39"/>
  <c r="N20" i="39"/>
  <c r="N19" i="39"/>
  <c r="N18" i="39"/>
  <c r="N17" i="39"/>
  <c r="N16" i="39"/>
  <c r="N15" i="39"/>
  <c r="N14" i="39"/>
  <c r="N13" i="39"/>
  <c r="N12" i="39"/>
  <c r="N11" i="39"/>
  <c r="N10" i="39"/>
  <c r="N9" i="39"/>
  <c r="N8" i="39"/>
  <c r="N7" i="39"/>
  <c r="N6" i="39"/>
  <c r="N5" i="39"/>
  <c r="N4" i="39"/>
  <c r="N3" i="39"/>
  <c r="N2" i="39"/>
  <c r="L289" i="40"/>
  <c r="L319" i="40"/>
  <c r="L109" i="40"/>
  <c r="L309" i="40"/>
  <c r="L308" i="40"/>
  <c r="L306" i="40"/>
  <c r="L307" i="40"/>
  <c r="L108" i="40"/>
  <c r="L301" i="40"/>
  <c r="L302" i="40"/>
  <c r="L300" i="40"/>
  <c r="L67" i="40"/>
  <c r="L299" i="40"/>
  <c r="L285" i="40"/>
  <c r="L288" i="40"/>
  <c r="L287" i="40"/>
  <c r="L286" i="40"/>
  <c r="L178" i="40"/>
  <c r="L179" i="40"/>
  <c r="L177" i="40"/>
  <c r="L188" i="40"/>
  <c r="L185" i="40"/>
  <c r="L121" i="40"/>
  <c r="L122" i="40"/>
  <c r="L116" i="40"/>
  <c r="L313" i="40"/>
  <c r="L118" i="40"/>
  <c r="L138" i="40"/>
  <c r="L137" i="40"/>
  <c r="L136" i="40"/>
  <c r="L315" i="40"/>
  <c r="L316" i="40"/>
  <c r="L305" i="40"/>
  <c r="L186" i="40"/>
  <c r="L187" i="40"/>
  <c r="L117" i="40"/>
  <c r="L318" i="40"/>
  <c r="L312" i="40"/>
  <c r="L314" i="40"/>
  <c r="L120" i="40"/>
  <c r="L119" i="40"/>
  <c r="L111" i="40"/>
  <c r="L183" i="40"/>
  <c r="L181" i="40"/>
  <c r="L184" i="40"/>
  <c r="L182" i="40"/>
  <c r="L317" i="40"/>
  <c r="L76" i="40"/>
  <c r="L180" i="40"/>
  <c r="L132" i="40"/>
  <c r="L131" i="40"/>
  <c r="L133" i="40"/>
  <c r="L134" i="40"/>
  <c r="L295" i="40"/>
  <c r="L135" i="40"/>
  <c r="L265" i="40"/>
  <c r="L191" i="40"/>
  <c r="L189" i="40"/>
  <c r="L190" i="40"/>
  <c r="L192" i="40"/>
  <c r="L193" i="40"/>
  <c r="L219" i="40"/>
  <c r="L280" i="40"/>
  <c r="L263" i="40"/>
  <c r="L264" i="40"/>
  <c r="L262" i="40"/>
  <c r="L230" i="40"/>
  <c r="L229" i="40"/>
  <c r="L220" i="40"/>
  <c r="L249" i="40"/>
  <c r="L245" i="40"/>
  <c r="L244" i="40"/>
  <c r="L234" i="40"/>
  <c r="L233" i="40"/>
  <c r="L236" i="40"/>
  <c r="L242" i="40"/>
  <c r="L231" i="40"/>
  <c r="L241" i="40"/>
  <c r="L239" i="40"/>
  <c r="L243" i="40"/>
  <c r="L248" i="40"/>
  <c r="L240" i="40"/>
  <c r="L235" i="40"/>
  <c r="L238" i="40"/>
  <c r="L237" i="40"/>
  <c r="L246" i="40"/>
  <c r="L232" i="40"/>
  <c r="L247" i="40"/>
  <c r="L222" i="40"/>
  <c r="L225" i="40"/>
  <c r="L224" i="40"/>
  <c r="L223" i="40"/>
  <c r="L221" i="40"/>
  <c r="L206" i="40"/>
  <c r="L204" i="40"/>
  <c r="L202" i="40"/>
  <c r="L205" i="40"/>
  <c r="L203" i="40"/>
  <c r="L218" i="40"/>
  <c r="L211" i="40"/>
  <c r="L277" i="40"/>
  <c r="L276" i="40"/>
  <c r="L201" i="40"/>
  <c r="L199" i="40"/>
  <c r="L200" i="40"/>
  <c r="L210" i="40"/>
  <c r="L278" i="40"/>
  <c r="L279" i="40"/>
  <c r="L284" i="40"/>
  <c r="L283" i="40"/>
  <c r="L282" i="40"/>
  <c r="L281" i="40"/>
  <c r="L195" i="40"/>
  <c r="L196" i="40"/>
  <c r="L194" i="40"/>
  <c r="L198" i="40"/>
  <c r="L197" i="40"/>
  <c r="L269" i="40"/>
  <c r="L270" i="40"/>
  <c r="L217" i="40"/>
  <c r="L216" i="40"/>
  <c r="L214" i="40"/>
  <c r="L215" i="40"/>
  <c r="L207" i="40"/>
  <c r="L208" i="40"/>
  <c r="L209" i="40"/>
  <c r="L275" i="40"/>
  <c r="L267" i="40"/>
  <c r="L273" i="40"/>
  <c r="L271" i="40"/>
  <c r="L272" i="40"/>
  <c r="L274" i="40"/>
  <c r="L268" i="40"/>
  <c r="L258" i="40"/>
  <c r="L259" i="40"/>
  <c r="L227" i="40"/>
  <c r="L226" i="40"/>
  <c r="L228" i="40"/>
  <c r="L261" i="40"/>
  <c r="L260" i="40"/>
  <c r="L266" i="40"/>
  <c r="L257" i="40"/>
  <c r="L256" i="40"/>
  <c r="L255" i="40"/>
  <c r="L253" i="40"/>
  <c r="L254" i="40"/>
  <c r="L213" i="40"/>
  <c r="L212" i="40"/>
  <c r="L252" i="40"/>
  <c r="L250" i="40"/>
  <c r="L251" i="40"/>
  <c r="L144" i="40"/>
  <c r="L145" i="40"/>
  <c r="L146" i="40"/>
  <c r="L160" i="40"/>
  <c r="L174" i="40"/>
  <c r="L172" i="40"/>
  <c r="L173" i="40"/>
  <c r="L175" i="40"/>
  <c r="L151" i="40"/>
  <c r="L149" i="40"/>
  <c r="L153" i="40"/>
  <c r="L147" i="40"/>
  <c r="L148" i="40"/>
  <c r="L152" i="40"/>
  <c r="L150" i="40"/>
  <c r="L176" i="40"/>
  <c r="L162" i="40"/>
  <c r="L161" i="40"/>
  <c r="L154" i="40"/>
  <c r="L157" i="40"/>
  <c r="L165" i="40"/>
  <c r="L163" i="40"/>
  <c r="L164" i="40"/>
  <c r="L159" i="40"/>
  <c r="L156" i="40"/>
  <c r="L158" i="40"/>
  <c r="L155" i="40"/>
  <c r="L169" i="40"/>
  <c r="L166" i="40"/>
  <c r="L167" i="40"/>
  <c r="L170" i="40"/>
  <c r="L171" i="40"/>
  <c r="L168" i="40"/>
  <c r="L141" i="40"/>
  <c r="L142" i="40"/>
  <c r="L143" i="40"/>
  <c r="L140" i="40"/>
  <c r="L139" i="40"/>
  <c r="L115" i="40"/>
  <c r="L113" i="40"/>
  <c r="L114" i="40"/>
  <c r="L60" i="40"/>
  <c r="L291" i="40"/>
  <c r="L293" i="40"/>
  <c r="L125" i="40"/>
  <c r="L126" i="40"/>
  <c r="L124" i="40"/>
  <c r="L128" i="40"/>
  <c r="L292" i="40"/>
  <c r="L294" i="40"/>
  <c r="L123" i="40"/>
  <c r="L127" i="40"/>
  <c r="L310" i="40"/>
  <c r="L320" i="40"/>
  <c r="L130" i="40"/>
  <c r="L129" i="40"/>
  <c r="L326" i="40"/>
  <c r="L304" i="40"/>
  <c r="L303" i="40"/>
  <c r="L328" i="40"/>
  <c r="L327" i="40"/>
  <c r="L321" i="40"/>
  <c r="L290" i="40"/>
  <c r="L110" i="40"/>
  <c r="L323" i="40"/>
  <c r="L322" i="40"/>
  <c r="L61" i="40"/>
  <c r="L63" i="40"/>
  <c r="L62" i="40"/>
  <c r="L112" i="40"/>
  <c r="L311" i="40"/>
  <c r="L69" i="40"/>
  <c r="L74" i="40"/>
  <c r="L72" i="40"/>
  <c r="L71" i="40"/>
  <c r="L75" i="40"/>
  <c r="L70" i="40"/>
  <c r="L68" i="40"/>
  <c r="L73" i="40"/>
  <c r="L107" i="40"/>
  <c r="L106" i="40"/>
  <c r="L105" i="40"/>
  <c r="L94" i="40"/>
  <c r="L95" i="40"/>
  <c r="L87" i="40"/>
  <c r="L90" i="40"/>
  <c r="L89" i="40"/>
  <c r="L86" i="40"/>
  <c r="L88" i="40"/>
  <c r="L96" i="40"/>
  <c r="L93" i="40"/>
  <c r="L98" i="40"/>
  <c r="L97" i="40"/>
  <c r="L79" i="40"/>
  <c r="L101" i="40"/>
  <c r="L100" i="40"/>
  <c r="L99" i="40"/>
  <c r="L102" i="40"/>
  <c r="L80" i="40"/>
  <c r="L104" i="40"/>
  <c r="L103" i="40"/>
  <c r="L92" i="40"/>
  <c r="L78" i="40"/>
  <c r="L91" i="40"/>
  <c r="L84" i="40"/>
  <c r="L83" i="40"/>
  <c r="L85" i="40"/>
  <c r="L82" i="40"/>
  <c r="L81" i="40"/>
  <c r="L77" i="40"/>
  <c r="L298" i="40"/>
  <c r="L297" i="40"/>
  <c r="L296" i="40"/>
  <c r="L64" i="40"/>
  <c r="L324" i="40"/>
  <c r="L325" i="40"/>
  <c r="L65" i="40"/>
  <c r="L66" i="40"/>
  <c r="L56" i="40"/>
  <c r="L28" i="40"/>
  <c r="L30" i="40"/>
  <c r="L29" i="40"/>
  <c r="L31" i="40"/>
  <c r="L18" i="40"/>
  <c r="L17" i="40"/>
  <c r="L22" i="40"/>
  <c r="L21" i="40"/>
  <c r="L43" i="40"/>
  <c r="L15" i="40"/>
  <c r="L14" i="40"/>
  <c r="L16" i="40"/>
  <c r="L13" i="40"/>
  <c r="L12" i="40"/>
  <c r="L5" i="40"/>
  <c r="L7" i="40"/>
  <c r="L6" i="40"/>
  <c r="L19" i="40"/>
  <c r="L57" i="40"/>
  <c r="L20" i="40"/>
  <c r="L3" i="40"/>
  <c r="L4" i="40"/>
  <c r="L54" i="40"/>
  <c r="L55" i="40"/>
  <c r="L50" i="40"/>
  <c r="L11" i="40"/>
  <c r="L46" i="40"/>
  <c r="L45" i="40"/>
  <c r="L44" i="40"/>
  <c r="L38" i="40"/>
  <c r="L39" i="40"/>
  <c r="L37" i="40"/>
  <c r="L36" i="40"/>
  <c r="L40" i="40"/>
  <c r="L41" i="40"/>
  <c r="L42" i="40"/>
  <c r="L2" i="40"/>
  <c r="L59" i="40"/>
  <c r="L47" i="40"/>
  <c r="L33" i="40"/>
  <c r="L48" i="40"/>
  <c r="L49" i="40"/>
  <c r="L32" i="40"/>
  <c r="L34" i="40"/>
  <c r="L35" i="40"/>
  <c r="L51" i="40"/>
  <c r="L52" i="40"/>
  <c r="L58" i="40"/>
  <c r="L9" i="40"/>
  <c r="L8" i="40"/>
  <c r="L10" i="40"/>
  <c r="L25" i="40"/>
  <c r="L27" i="40"/>
  <c r="L23" i="40"/>
  <c r="L24" i="40"/>
  <c r="L26" i="40"/>
  <c r="N22" i="33"/>
  <c r="N20" i="33"/>
  <c r="N21" i="33"/>
  <c r="N16" i="33"/>
  <c r="N24" i="33"/>
  <c r="N25" i="33"/>
  <c r="N12" i="33"/>
  <c r="N17" i="33"/>
  <c r="N19" i="33"/>
  <c r="N18" i="33"/>
  <c r="N23" i="33"/>
  <c r="N10" i="33"/>
  <c r="N33" i="33"/>
  <c r="N11" i="33"/>
  <c r="N28" i="33"/>
  <c r="N26" i="33"/>
  <c r="N27" i="33"/>
  <c r="N30" i="33"/>
  <c r="N31" i="33"/>
  <c r="N29" i="33"/>
  <c r="N15" i="33"/>
  <c r="N14" i="33"/>
  <c r="N13" i="33"/>
  <c r="N9" i="33"/>
  <c r="N5" i="33"/>
  <c r="N4" i="33"/>
  <c r="N3" i="33"/>
  <c r="N2" i="33"/>
  <c r="N6" i="33"/>
  <c r="N7" i="33"/>
  <c r="N17" i="20"/>
  <c r="N83" i="20"/>
  <c r="N103" i="20"/>
  <c r="N93" i="20"/>
  <c r="N98" i="20"/>
  <c r="N97" i="20"/>
  <c r="N96" i="20"/>
  <c r="N95" i="20"/>
  <c r="N94" i="20"/>
  <c r="N102" i="20"/>
  <c r="N101" i="20"/>
  <c r="N100" i="20"/>
  <c r="N99" i="20"/>
  <c r="N78" i="20"/>
  <c r="N79" i="20"/>
  <c r="N41" i="20"/>
  <c r="N58" i="20"/>
  <c r="N56" i="20"/>
  <c r="N55" i="20"/>
  <c r="N52" i="20"/>
  <c r="N48" i="20"/>
  <c r="N53" i="20"/>
  <c r="N54" i="20"/>
  <c r="N47" i="20"/>
  <c r="N63" i="20"/>
  <c r="N61" i="20"/>
  <c r="N60" i="20"/>
  <c r="N62" i="20"/>
  <c r="N92" i="20"/>
  <c r="N57" i="20"/>
  <c r="N59" i="20"/>
  <c r="N64" i="20"/>
  <c r="N112" i="20"/>
  <c r="N114" i="20"/>
  <c r="N110" i="20"/>
  <c r="N116" i="20"/>
  <c r="N109" i="20"/>
  <c r="N115" i="20"/>
  <c r="N111" i="20"/>
  <c r="N113" i="20"/>
  <c r="N90" i="20"/>
  <c r="N89" i="20"/>
  <c r="N84" i="20"/>
  <c r="N85" i="20"/>
  <c r="N86" i="20"/>
  <c r="N88" i="20"/>
  <c r="N87" i="20"/>
  <c r="N50" i="20"/>
  <c r="N49" i="20"/>
  <c r="N51" i="20"/>
  <c r="N91" i="20"/>
  <c r="N31" i="20"/>
  <c r="N39" i="20"/>
  <c r="N45" i="20"/>
  <c r="N43" i="20"/>
  <c r="N46" i="20"/>
  <c r="N44" i="20"/>
  <c r="N42" i="20"/>
  <c r="N36" i="20"/>
  <c r="N37" i="20"/>
  <c r="N38" i="20"/>
  <c r="N18" i="20"/>
  <c r="N32" i="20"/>
  <c r="N35" i="20"/>
  <c r="N104" i="20"/>
  <c r="N106" i="20"/>
  <c r="N105" i="20"/>
  <c r="N40" i="20"/>
  <c r="N33" i="20"/>
  <c r="N34" i="20"/>
  <c r="N108" i="20"/>
  <c r="N107" i="20"/>
  <c r="N73" i="20"/>
  <c r="N66" i="20"/>
  <c r="N65" i="20"/>
  <c r="N71" i="20"/>
  <c r="N72" i="20"/>
  <c r="N74" i="20"/>
  <c r="N76" i="20"/>
  <c r="N75" i="20"/>
  <c r="N77" i="20"/>
  <c r="N70" i="20"/>
  <c r="N69" i="20"/>
  <c r="N68" i="20"/>
  <c r="N67" i="20"/>
  <c r="N29" i="20"/>
  <c r="N30" i="20"/>
  <c r="N28" i="20"/>
  <c r="N82" i="20"/>
  <c r="N117" i="20"/>
  <c r="N9" i="20"/>
  <c r="N12" i="20"/>
  <c r="N14" i="20"/>
  <c r="N13" i="20"/>
  <c r="N11" i="20"/>
  <c r="N10" i="20"/>
  <c r="N15" i="20"/>
  <c r="N16" i="20"/>
  <c r="N3" i="20"/>
  <c r="N6" i="20"/>
  <c r="N7" i="20"/>
  <c r="N2" i="20"/>
  <c r="N4" i="20"/>
  <c r="N5" i="20"/>
  <c r="N8" i="20"/>
  <c r="N32" i="17"/>
  <c r="N31" i="17"/>
  <c r="N223" i="17"/>
  <c r="N221" i="17"/>
  <c r="N218" i="17"/>
  <c r="N235" i="17"/>
  <c r="N100" i="17"/>
  <c r="N237" i="17"/>
  <c r="N236" i="17"/>
  <c r="N234" i="17"/>
  <c r="N225" i="17"/>
  <c r="N226" i="17"/>
  <c r="N227" i="17"/>
  <c r="N96" i="17"/>
  <c r="N95" i="17"/>
  <c r="N99" i="17"/>
  <c r="N94" i="17"/>
  <c r="N210" i="17"/>
  <c r="N211" i="17"/>
  <c r="N212" i="17"/>
  <c r="N97" i="17"/>
  <c r="N98" i="17"/>
  <c r="N217" i="17"/>
  <c r="N216" i="17"/>
  <c r="N184" i="17"/>
  <c r="N214" i="17"/>
  <c r="N215" i="17"/>
  <c r="N213" i="17"/>
  <c r="N154" i="17"/>
  <c r="N133" i="17"/>
  <c r="N136" i="17"/>
  <c r="N135" i="17"/>
  <c r="N134" i="17"/>
  <c r="N137" i="17"/>
  <c r="N138" i="17"/>
  <c r="N142" i="17"/>
  <c r="N140" i="17"/>
  <c r="N141" i="17"/>
  <c r="N143" i="17"/>
  <c r="N147" i="17"/>
  <c r="N148" i="17"/>
  <c r="N152" i="17"/>
  <c r="N151" i="17"/>
  <c r="N145" i="17"/>
  <c r="N149" i="17"/>
  <c r="N150" i="17"/>
  <c r="N146" i="17"/>
  <c r="N139" i="17"/>
  <c r="N144" i="17"/>
  <c r="N153" i="17"/>
  <c r="N128" i="17"/>
  <c r="N130" i="17"/>
  <c r="N129" i="17"/>
  <c r="N127" i="17"/>
  <c r="N126" i="17"/>
  <c r="N131" i="17"/>
  <c r="N132" i="17"/>
  <c r="N30" i="17"/>
  <c r="N29" i="17"/>
  <c r="N222" i="17"/>
  <c r="N220" i="17"/>
  <c r="N219" i="17"/>
  <c r="N224" i="17"/>
  <c r="N67" i="17"/>
  <c r="N246" i="17"/>
  <c r="N123" i="17"/>
  <c r="N161" i="17"/>
  <c r="N164" i="17"/>
  <c r="N122" i="17"/>
  <c r="N163" i="17"/>
  <c r="N249" i="17"/>
  <c r="N238" i="17"/>
  <c r="N244" i="17"/>
  <c r="N121" i="17"/>
  <c r="N157" i="17"/>
  <c r="N158" i="17"/>
  <c r="N155" i="17"/>
  <c r="N156" i="17"/>
  <c r="N245" i="17"/>
  <c r="N104" i="17"/>
  <c r="N247" i="17"/>
  <c r="N162" i="17"/>
  <c r="N248" i="17"/>
  <c r="N160" i="17"/>
  <c r="N159" i="17"/>
  <c r="N66" i="17"/>
  <c r="N243" i="17"/>
  <c r="N105" i="17"/>
  <c r="N106" i="17"/>
  <c r="N120" i="17"/>
  <c r="N119" i="17"/>
  <c r="N101" i="17"/>
  <c r="N240" i="17"/>
  <c r="N204" i="17"/>
  <c r="N165" i="17"/>
  <c r="N209" i="17"/>
  <c r="N202" i="17"/>
  <c r="N197" i="17"/>
  <c r="N203" i="17"/>
  <c r="N198" i="17"/>
  <c r="N199" i="17"/>
  <c r="N196" i="17"/>
  <c r="N207" i="17"/>
  <c r="N205" i="17"/>
  <c r="N187" i="17"/>
  <c r="N208" i="17"/>
  <c r="N173" i="17"/>
  <c r="N171" i="17"/>
  <c r="N174" i="17"/>
  <c r="N172" i="17"/>
  <c r="N194" i="17"/>
  <c r="N167" i="17"/>
  <c r="N168" i="17"/>
  <c r="N169" i="17"/>
  <c r="N166" i="17"/>
  <c r="N170" i="17"/>
  <c r="N193" i="17"/>
  <c r="N192" i="17"/>
  <c r="N206" i="17"/>
  <c r="N180" i="17"/>
  <c r="N181" i="17"/>
  <c r="N183" i="17"/>
  <c r="N182" i="17"/>
  <c r="N195" i="17"/>
  <c r="N179" i="17"/>
  <c r="N177" i="17"/>
  <c r="N176" i="17"/>
  <c r="N175" i="17"/>
  <c r="N178" i="17"/>
  <c r="N186" i="17"/>
  <c r="N185" i="17"/>
  <c r="N200" i="17"/>
  <c r="N201" i="17"/>
  <c r="N191" i="17"/>
  <c r="N190" i="17"/>
  <c r="N188" i="17"/>
  <c r="N189" i="17"/>
  <c r="N125" i="17"/>
  <c r="N124" i="17"/>
  <c r="N103" i="17"/>
  <c r="N102" i="17"/>
  <c r="N233" i="17"/>
  <c r="N111" i="17"/>
  <c r="N112" i="17"/>
  <c r="N229" i="17"/>
  <c r="N116" i="17"/>
  <c r="N115" i="17"/>
  <c r="N117" i="17"/>
  <c r="N231" i="17"/>
  <c r="N230" i="17"/>
  <c r="N228" i="17"/>
  <c r="N118" i="17"/>
  <c r="N232" i="17"/>
  <c r="N110" i="17"/>
  <c r="N107" i="17"/>
  <c r="N108" i="17"/>
  <c r="N109" i="17"/>
  <c r="N113" i="17"/>
  <c r="N114" i="17"/>
  <c r="N251" i="17"/>
  <c r="N252" i="17"/>
  <c r="N253" i="17"/>
  <c r="N254" i="17"/>
  <c r="N250" i="17"/>
  <c r="N255" i="17"/>
  <c r="N256" i="17"/>
  <c r="N239" i="17"/>
  <c r="N68" i="17"/>
  <c r="N41" i="17"/>
  <c r="N37" i="17"/>
  <c r="N35" i="17"/>
  <c r="N58" i="17"/>
  <c r="N38" i="17"/>
  <c r="N40" i="17"/>
  <c r="N55" i="17"/>
  <c r="N50" i="17"/>
  <c r="N61" i="17"/>
  <c r="N52" i="17"/>
  <c r="N59" i="17"/>
  <c r="N60" i="17"/>
  <c r="N56" i="17"/>
  <c r="N53" i="17"/>
  <c r="N57" i="17"/>
  <c r="N54" i="17"/>
  <c r="N34" i="17"/>
  <c r="N33" i="17"/>
  <c r="N62" i="17"/>
  <c r="N43" i="17"/>
  <c r="N48" i="17"/>
  <c r="N64" i="17"/>
  <c r="N46" i="17"/>
  <c r="N47" i="17"/>
  <c r="N49" i="17"/>
  <c r="N45" i="17"/>
  <c r="N51" i="17"/>
  <c r="N65" i="17"/>
  <c r="N39" i="17"/>
  <c r="N44" i="17"/>
  <c r="N42" i="17"/>
  <c r="N63" i="17"/>
  <c r="N36" i="17"/>
  <c r="N91" i="17"/>
  <c r="N79" i="17"/>
  <c r="N82" i="17"/>
  <c r="N83" i="17"/>
  <c r="N88" i="17"/>
  <c r="N86" i="17"/>
  <c r="N84" i="17"/>
  <c r="N81" i="17"/>
  <c r="N78" i="17"/>
  <c r="N85" i="17"/>
  <c r="N89" i="17"/>
  <c r="N87" i="17"/>
  <c r="N80" i="17"/>
  <c r="N70" i="17"/>
  <c r="N74" i="17"/>
  <c r="N69" i="17"/>
  <c r="N73" i="17"/>
  <c r="N72" i="17"/>
  <c r="N90" i="17"/>
  <c r="N76" i="17"/>
  <c r="N92" i="17"/>
  <c r="N93" i="17"/>
  <c r="N71" i="17"/>
  <c r="N75" i="17"/>
  <c r="N77" i="17"/>
  <c r="N241" i="17"/>
  <c r="N242" i="17"/>
  <c r="N28" i="17"/>
  <c r="N17" i="17"/>
  <c r="N16" i="17"/>
  <c r="N7" i="17"/>
  <c r="N5" i="17"/>
  <c r="N8" i="17"/>
  <c r="N15" i="17"/>
  <c r="N19" i="17"/>
  <c r="N18" i="17"/>
  <c r="N20" i="17"/>
  <c r="N21" i="17"/>
  <c r="N22" i="17"/>
  <c r="N9" i="17"/>
  <c r="N14" i="17"/>
  <c r="N13" i="17"/>
  <c r="N12" i="17"/>
  <c r="N10" i="17"/>
  <c r="N11" i="17"/>
  <c r="N23" i="17"/>
  <c r="N26" i="17"/>
  <c r="N27" i="17"/>
  <c r="N25" i="17"/>
  <c r="N24" i="17"/>
  <c r="N2" i="17"/>
  <c r="N6" i="17"/>
  <c r="N4" i="17"/>
  <c r="N3" i="17"/>
  <c r="N146" i="16"/>
  <c r="N144" i="16"/>
  <c r="N145" i="16"/>
  <c r="N62" i="16"/>
  <c r="N147" i="16"/>
  <c r="N170" i="16"/>
  <c r="N2" i="16"/>
  <c r="N153" i="16"/>
  <c r="N148" i="16"/>
  <c r="N55" i="16"/>
  <c r="N51" i="16"/>
  <c r="N57" i="16"/>
  <c r="N56" i="16"/>
  <c r="N54" i="16"/>
  <c r="N53" i="16"/>
  <c r="N52" i="16"/>
  <c r="N136" i="16"/>
  <c r="N140" i="16"/>
  <c r="N139" i="16"/>
  <c r="N141" i="16"/>
  <c r="N138" i="16"/>
  <c r="N137" i="16"/>
  <c r="N60" i="16"/>
  <c r="N61" i="16"/>
  <c r="N58" i="16"/>
  <c r="N59" i="16"/>
  <c r="N142" i="16"/>
  <c r="N143" i="16"/>
  <c r="N113" i="16"/>
  <c r="N49" i="16"/>
  <c r="N50" i="16"/>
  <c r="N77" i="16"/>
  <c r="N78" i="16"/>
  <c r="N79" i="16"/>
  <c r="N80" i="16"/>
  <c r="N81" i="16"/>
  <c r="N83" i="16"/>
  <c r="N82" i="16"/>
  <c r="N84" i="16"/>
  <c r="N76" i="16"/>
  <c r="N75" i="16"/>
  <c r="N89" i="16"/>
  <c r="N102" i="16"/>
  <c r="N101" i="16"/>
  <c r="N96" i="16"/>
  <c r="N99" i="16"/>
  <c r="N97" i="16"/>
  <c r="N98" i="16"/>
  <c r="N88" i="16"/>
  <c r="N106" i="16"/>
  <c r="N108" i="16"/>
  <c r="N93" i="16"/>
  <c r="N94" i="16"/>
  <c r="N95" i="16"/>
  <c r="N92" i="16"/>
  <c r="N104" i="16"/>
  <c r="N100" i="16"/>
  <c r="N103" i="16"/>
  <c r="N105" i="16"/>
  <c r="N107" i="16"/>
  <c r="N90" i="16"/>
  <c r="N87" i="16"/>
  <c r="N174" i="16"/>
  <c r="N159" i="16"/>
  <c r="N160" i="16"/>
  <c r="N167" i="16"/>
  <c r="N163" i="16"/>
  <c r="N169" i="16"/>
  <c r="N166" i="16"/>
  <c r="N168" i="16"/>
  <c r="N161" i="16"/>
  <c r="N164" i="16"/>
  <c r="N162" i="16"/>
  <c r="N165" i="16"/>
  <c r="N158" i="16"/>
  <c r="N156" i="16"/>
  <c r="N157" i="16"/>
  <c r="N149" i="16"/>
  <c r="N91" i="16"/>
  <c r="N70" i="16"/>
  <c r="N69" i="16"/>
  <c r="N86" i="16"/>
  <c r="N150" i="16"/>
  <c r="N73" i="16"/>
  <c r="N71" i="16"/>
  <c r="N64" i="16"/>
  <c r="N85" i="16"/>
  <c r="N74" i="16"/>
  <c r="N63" i="16"/>
  <c r="N72" i="16"/>
  <c r="N65" i="16"/>
  <c r="N68" i="16"/>
  <c r="N67" i="16"/>
  <c r="N154" i="16"/>
  <c r="N66" i="16"/>
  <c r="N155" i="16"/>
  <c r="N126" i="16"/>
  <c r="N127" i="16"/>
  <c r="N129" i="16"/>
  <c r="N109" i="16"/>
  <c r="N130" i="16"/>
  <c r="N125" i="16"/>
  <c r="N134" i="16"/>
  <c r="N135" i="16"/>
  <c r="N132" i="16"/>
  <c r="N133" i="16"/>
  <c r="N131" i="16"/>
  <c r="N117" i="16"/>
  <c r="N124" i="16"/>
  <c r="N116" i="16"/>
  <c r="N110" i="16"/>
  <c r="N111" i="16"/>
  <c r="N121" i="16"/>
  <c r="N122" i="16"/>
  <c r="N120" i="16"/>
  <c r="N119" i="16"/>
  <c r="N114" i="16"/>
  <c r="N123" i="16"/>
  <c r="N112" i="16"/>
  <c r="N115" i="16"/>
  <c r="N128" i="16"/>
  <c r="N118" i="16"/>
  <c r="N33" i="16"/>
  <c r="N32" i="16"/>
  <c r="N31" i="16"/>
  <c r="N30" i="16"/>
  <c r="N29" i="16"/>
  <c r="N28" i="16"/>
  <c r="N27" i="16"/>
  <c r="N175" i="16"/>
  <c r="N177" i="16"/>
  <c r="N176" i="16"/>
  <c r="N173" i="16"/>
  <c r="N172" i="16"/>
  <c r="N35" i="16"/>
  <c r="N37" i="16"/>
  <c r="N38" i="16"/>
  <c r="N36" i="16"/>
  <c r="N34" i="16"/>
  <c r="N40" i="16"/>
  <c r="N41" i="16"/>
  <c r="N42" i="16"/>
  <c r="N46" i="16"/>
  <c r="N45" i="16"/>
  <c r="N47" i="16"/>
  <c r="N48" i="16"/>
  <c r="N44" i="16"/>
  <c r="N43" i="16"/>
  <c r="N39" i="16"/>
  <c r="N24" i="16"/>
  <c r="N23" i="16"/>
  <c r="N152" i="16"/>
  <c r="N151" i="16"/>
  <c r="N26" i="16"/>
  <c r="N22" i="16"/>
  <c r="N25" i="16"/>
  <c r="N10" i="16"/>
  <c r="N9" i="16"/>
  <c r="N4" i="16"/>
  <c r="N12" i="16"/>
  <c r="N13" i="16"/>
  <c r="N11" i="16"/>
  <c r="N16" i="16"/>
  <c r="N15" i="16"/>
  <c r="N14" i="16"/>
  <c r="N17" i="16"/>
  <c r="N18" i="16"/>
  <c r="N19" i="16"/>
  <c r="N20" i="16"/>
  <c r="N21" i="16"/>
  <c r="N3" i="16"/>
  <c r="N8" i="16"/>
  <c r="N7" i="16"/>
  <c r="N6" i="16"/>
  <c r="N5" i="16"/>
  <c r="N41" i="15"/>
  <c r="N40" i="15"/>
  <c r="N15" i="15"/>
  <c r="N32" i="15"/>
  <c r="N35" i="15"/>
  <c r="N31" i="15"/>
  <c r="N26" i="15"/>
  <c r="N14" i="15"/>
  <c r="N13" i="15"/>
  <c r="N25" i="15"/>
  <c r="N23" i="15"/>
  <c r="N18" i="15"/>
  <c r="N29" i="15"/>
  <c r="N28" i="15"/>
  <c r="N17" i="15"/>
  <c r="N30" i="15"/>
  <c r="N33" i="15"/>
  <c r="N22" i="15"/>
  <c r="N34" i="15"/>
  <c r="N16" i="15"/>
  <c r="N36" i="15"/>
  <c r="N21" i="15"/>
  <c r="N20" i="15"/>
  <c r="N24" i="15"/>
  <c r="N27" i="15"/>
  <c r="N19" i="15"/>
  <c r="N58" i="15"/>
  <c r="N59" i="15"/>
  <c r="N54" i="15"/>
  <c r="N60" i="15"/>
  <c r="N55" i="15"/>
  <c r="N53" i="15"/>
  <c r="N57" i="15"/>
  <c r="N51" i="15"/>
  <c r="N63" i="15"/>
  <c r="N62" i="15"/>
  <c r="N52" i="15"/>
  <c r="N50" i="15"/>
  <c r="N61" i="15"/>
  <c r="N56" i="15"/>
  <c r="N49" i="15"/>
  <c r="N48" i="15"/>
  <c r="N45" i="15"/>
  <c r="N42" i="15"/>
  <c r="N43" i="15"/>
  <c r="N44" i="15"/>
  <c r="N46" i="15"/>
  <c r="N11" i="15"/>
  <c r="N12" i="15"/>
  <c r="N47" i="15"/>
  <c r="N10" i="15"/>
  <c r="N37" i="15"/>
  <c r="N38" i="15"/>
  <c r="N39" i="15"/>
  <c r="N6" i="15"/>
  <c r="N5" i="15"/>
  <c r="N7" i="15"/>
  <c r="N8" i="15"/>
  <c r="N9" i="15"/>
  <c r="N4" i="15"/>
  <c r="N2" i="15"/>
  <c r="N3" i="15"/>
  <c r="N65" i="14"/>
  <c r="N66" i="14"/>
  <c r="N64" i="14"/>
  <c r="N63" i="14"/>
  <c r="N12" i="14"/>
  <c r="N13" i="14"/>
  <c r="N86" i="14"/>
  <c r="N33" i="14"/>
  <c r="N24" i="14"/>
  <c r="N46" i="14"/>
  <c r="N44" i="14"/>
  <c r="N35" i="14"/>
  <c r="N37" i="14"/>
  <c r="N38" i="14"/>
  <c r="N32" i="14"/>
  <c r="N36" i="14"/>
  <c r="N39" i="14"/>
  <c r="N31" i="14"/>
  <c r="N30" i="14"/>
  <c r="N40" i="14"/>
  <c r="N29" i="14"/>
  <c r="N28" i="14"/>
  <c r="N45" i="14"/>
  <c r="N27" i="14"/>
  <c r="N34" i="14"/>
  <c r="N43" i="14"/>
  <c r="N42" i="14"/>
  <c r="N41" i="14"/>
  <c r="N25" i="14"/>
  <c r="N26" i="14"/>
  <c r="N91" i="14"/>
  <c r="N87" i="14"/>
  <c r="N90" i="14"/>
  <c r="N88" i="14"/>
  <c r="N89" i="14"/>
  <c r="N83" i="14"/>
  <c r="N84" i="14"/>
  <c r="N82" i="14"/>
  <c r="N85" i="14"/>
  <c r="N77" i="14"/>
  <c r="N76" i="14"/>
  <c r="N78" i="14"/>
  <c r="N75" i="14"/>
  <c r="N79" i="14"/>
  <c r="N80" i="14"/>
  <c r="N81" i="14"/>
  <c r="N67" i="14"/>
  <c r="N68" i="14"/>
  <c r="N21" i="14"/>
  <c r="N14" i="14"/>
  <c r="N15" i="14"/>
  <c r="N22" i="14"/>
  <c r="N23" i="14"/>
  <c r="N69" i="14"/>
  <c r="N20" i="14"/>
  <c r="N18" i="14"/>
  <c r="N19" i="14"/>
  <c r="N16" i="14"/>
  <c r="N17" i="14"/>
  <c r="N71" i="14"/>
  <c r="N73" i="14"/>
  <c r="N72" i="14"/>
  <c r="N70" i="14"/>
  <c r="N74" i="14"/>
  <c r="N58" i="14"/>
  <c r="N57" i="14"/>
  <c r="N59" i="14"/>
  <c r="N60" i="14"/>
  <c r="N61" i="14"/>
  <c r="N55" i="14"/>
  <c r="N54" i="14"/>
  <c r="N56" i="14"/>
  <c r="N47" i="14"/>
  <c r="N48" i="14"/>
  <c r="N49" i="14"/>
  <c r="N53" i="14"/>
  <c r="N62" i="14"/>
  <c r="N51" i="14"/>
  <c r="N52" i="14"/>
  <c r="N50" i="14"/>
  <c r="N11" i="14"/>
  <c r="N8" i="14"/>
  <c r="N5" i="14"/>
  <c r="N7" i="14"/>
  <c r="N4" i="14"/>
  <c r="N6" i="14"/>
  <c r="N9" i="14"/>
  <c r="N10" i="14"/>
  <c r="N3" i="14"/>
  <c r="N2" i="14"/>
  <c r="N526" i="12"/>
  <c r="N98" i="12"/>
  <c r="N99" i="12"/>
  <c r="N216" i="12"/>
  <c r="N214" i="12"/>
  <c r="N215" i="12"/>
  <c r="N213" i="12"/>
  <c r="N212" i="12"/>
  <c r="N550" i="12"/>
  <c r="N545" i="12"/>
  <c r="N544" i="12"/>
  <c r="N546" i="12"/>
  <c r="N547" i="12"/>
  <c r="N549" i="12"/>
  <c r="N548" i="12"/>
  <c r="N538" i="12"/>
  <c r="N528" i="12"/>
  <c r="N527" i="12"/>
  <c r="N219" i="12"/>
  <c r="N529" i="12"/>
  <c r="N356" i="12"/>
  <c r="N359" i="12"/>
  <c r="N361" i="12"/>
  <c r="N360" i="12"/>
  <c r="N357" i="12"/>
  <c r="N358" i="12"/>
  <c r="N220" i="12"/>
  <c r="N593" i="12"/>
  <c r="N201" i="12"/>
  <c r="N205" i="12"/>
  <c r="N198" i="12"/>
  <c r="N210" i="12"/>
  <c r="N200" i="12"/>
  <c r="N197" i="12"/>
  <c r="N211" i="12"/>
  <c r="N203" i="12"/>
  <c r="N199" i="12"/>
  <c r="N206" i="12"/>
  <c r="N202" i="12"/>
  <c r="N204" i="12"/>
  <c r="N445" i="12"/>
  <c r="N446" i="12"/>
  <c r="N447" i="12"/>
  <c r="N448" i="12"/>
  <c r="N457" i="12"/>
  <c r="N458" i="12"/>
  <c r="N456" i="12"/>
  <c r="N455" i="12"/>
  <c r="N459" i="12"/>
  <c r="N463" i="12"/>
  <c r="N462" i="12"/>
  <c r="N460" i="12"/>
  <c r="N461" i="12"/>
  <c r="N449" i="12"/>
  <c r="N454" i="12"/>
  <c r="N451" i="12"/>
  <c r="N452" i="12"/>
  <c r="N450" i="12"/>
  <c r="N453" i="12"/>
  <c r="N208" i="12"/>
  <c r="N209" i="12"/>
  <c r="N207" i="12"/>
  <c r="N519" i="12"/>
  <c r="N517" i="12"/>
  <c r="N196" i="12"/>
  <c r="N518" i="12"/>
  <c r="N521" i="12"/>
  <c r="N520" i="12"/>
  <c r="N522" i="12"/>
  <c r="N523" i="12"/>
  <c r="N514" i="12"/>
  <c r="N512" i="12"/>
  <c r="N513" i="12"/>
  <c r="N515" i="12"/>
  <c r="N516" i="12"/>
  <c r="N352" i="12"/>
  <c r="N353" i="12"/>
  <c r="N525" i="12"/>
  <c r="N524" i="12"/>
  <c r="N511" i="12"/>
  <c r="N487" i="12"/>
  <c r="N466" i="12"/>
  <c r="N498" i="12"/>
  <c r="N468" i="12"/>
  <c r="N469" i="12"/>
  <c r="N467" i="12"/>
  <c r="N470" i="12"/>
  <c r="N472" i="12"/>
  <c r="N491" i="12"/>
  <c r="N494" i="12"/>
  <c r="N492" i="12"/>
  <c r="N499" i="12"/>
  <c r="N500" i="12"/>
  <c r="N493" i="12"/>
  <c r="N488" i="12"/>
  <c r="N475" i="12"/>
  <c r="N496" i="12"/>
  <c r="N495" i="12"/>
  <c r="N497" i="12"/>
  <c r="N471" i="12"/>
  <c r="N490" i="12"/>
  <c r="N489" i="12"/>
  <c r="N483" i="12"/>
  <c r="N482" i="12"/>
  <c r="N480" i="12"/>
  <c r="N481" i="12"/>
  <c r="N484" i="12"/>
  <c r="N479" i="12"/>
  <c r="N464" i="12"/>
  <c r="N474" i="12"/>
  <c r="N478" i="12"/>
  <c r="N476" i="12"/>
  <c r="N465" i="12"/>
  <c r="N473" i="12"/>
  <c r="N477" i="12"/>
  <c r="N507" i="12"/>
  <c r="N501" i="12"/>
  <c r="N502" i="12"/>
  <c r="N504" i="12"/>
  <c r="N508" i="12"/>
  <c r="N503" i="12"/>
  <c r="N510" i="12"/>
  <c r="N509" i="12"/>
  <c r="N505" i="12"/>
  <c r="N506" i="12"/>
  <c r="N485" i="12"/>
  <c r="N486" i="12"/>
  <c r="N444" i="12"/>
  <c r="N288" i="12"/>
  <c r="N289" i="12"/>
  <c r="N287" i="12"/>
  <c r="N291" i="12"/>
  <c r="N285" i="12"/>
  <c r="N292" i="12"/>
  <c r="N290" i="12"/>
  <c r="N286" i="12"/>
  <c r="N283" i="12"/>
  <c r="N284" i="12"/>
  <c r="N282" i="12"/>
  <c r="N280" i="12"/>
  <c r="N278" i="12"/>
  <c r="N294" i="12"/>
  <c r="N296" i="12"/>
  <c r="N295" i="12"/>
  <c r="N281" i="12"/>
  <c r="N279" i="12"/>
  <c r="N293" i="12"/>
  <c r="N95" i="12"/>
  <c r="N96" i="12"/>
  <c r="N342" i="12"/>
  <c r="N339" i="12"/>
  <c r="N338" i="12"/>
  <c r="N345" i="12"/>
  <c r="N347" i="12"/>
  <c r="N344" i="12"/>
  <c r="N340" i="12"/>
  <c r="N343" i="12"/>
  <c r="N346" i="12"/>
  <c r="N231" i="12"/>
  <c r="N244" i="12"/>
  <c r="N591" i="12"/>
  <c r="N592" i="12"/>
  <c r="N148" i="12"/>
  <c r="N226" i="12"/>
  <c r="N225" i="12"/>
  <c r="N224" i="12"/>
  <c r="N559" i="12"/>
  <c r="N270" i="12"/>
  <c r="N271" i="12"/>
  <c r="N150" i="12"/>
  <c r="N555" i="12"/>
  <c r="N149" i="12"/>
  <c r="N572" i="12"/>
  <c r="N558" i="12"/>
  <c r="N557" i="12"/>
  <c r="N556" i="12"/>
  <c r="N542" i="12"/>
  <c r="N325" i="12"/>
  <c r="N324" i="12"/>
  <c r="N331" i="12"/>
  <c r="N330" i="12"/>
  <c r="N328" i="12"/>
  <c r="N329" i="12"/>
  <c r="N323" i="12"/>
  <c r="N341" i="12"/>
  <c r="N574" i="12"/>
  <c r="N573" i="12"/>
  <c r="N332" i="12"/>
  <c r="N326" i="12"/>
  <c r="N327" i="12"/>
  <c r="N337" i="12"/>
  <c r="N234" i="12"/>
  <c r="N233" i="12"/>
  <c r="N567" i="12"/>
  <c r="N569" i="12"/>
  <c r="N568" i="12"/>
  <c r="N566" i="12"/>
  <c r="N570" i="12"/>
  <c r="N269" i="12"/>
  <c r="N589" i="12"/>
  <c r="N590" i="12"/>
  <c r="N305" i="12"/>
  <c r="N334" i="12"/>
  <c r="N335" i="12"/>
  <c r="N264" i="12"/>
  <c r="N306" i="12"/>
  <c r="N571" i="12"/>
  <c r="N304" i="12"/>
  <c r="N333" i="12"/>
  <c r="N336" i="12"/>
  <c r="N588" i="12"/>
  <c r="N307" i="12"/>
  <c r="N297" i="12"/>
  <c r="N540" i="12"/>
  <c r="N561" i="12"/>
  <c r="N227" i="12"/>
  <c r="N541" i="12"/>
  <c r="N242" i="12"/>
  <c r="N240" i="12"/>
  <c r="N228" i="12"/>
  <c r="N235" i="12"/>
  <c r="N239" i="12"/>
  <c r="N586" i="12"/>
  <c r="N587" i="12"/>
  <c r="N237" i="12"/>
  <c r="N241" i="12"/>
  <c r="N236" i="12"/>
  <c r="N230" i="12"/>
  <c r="N265" i="12"/>
  <c r="N238" i="12"/>
  <c r="N229" i="12"/>
  <c r="N539" i="12"/>
  <c r="N565" i="12"/>
  <c r="N543" i="12"/>
  <c r="N564" i="12"/>
  <c r="N563" i="12"/>
  <c r="N562" i="12"/>
  <c r="N581" i="12"/>
  <c r="N579" i="12"/>
  <c r="N578" i="12"/>
  <c r="N576" i="12"/>
  <c r="N575" i="12"/>
  <c r="N577" i="12"/>
  <c r="N580" i="12"/>
  <c r="N584" i="12"/>
  <c r="N583" i="12"/>
  <c r="N582" i="12"/>
  <c r="N585" i="12"/>
  <c r="N232" i="12"/>
  <c r="N272" i="12"/>
  <c r="N309" i="12"/>
  <c r="N308" i="12"/>
  <c r="N243" i="12"/>
  <c r="N319" i="12"/>
  <c r="N318" i="12"/>
  <c r="N316" i="12"/>
  <c r="N315" i="12"/>
  <c r="N320" i="12"/>
  <c r="N313" i="12"/>
  <c r="N317" i="12"/>
  <c r="N321" i="12"/>
  <c r="N299" i="12"/>
  <c r="N301" i="12"/>
  <c r="N322" i="12"/>
  <c r="N560" i="12"/>
  <c r="N298" i="12"/>
  <c r="N303" i="12"/>
  <c r="N314" i="12"/>
  <c r="N302" i="12"/>
  <c r="N311" i="12"/>
  <c r="N312" i="12"/>
  <c r="N300" i="12"/>
  <c r="N310" i="12"/>
  <c r="N268" i="12"/>
  <c r="N267" i="12"/>
  <c r="N266" i="12"/>
  <c r="N218" i="12"/>
  <c r="N217" i="12"/>
  <c r="N554" i="12"/>
  <c r="N97" i="12"/>
  <c r="N403" i="12"/>
  <c r="N351" i="12"/>
  <c r="N394" i="12"/>
  <c r="N348" i="12"/>
  <c r="N402" i="12"/>
  <c r="N401" i="12"/>
  <c r="N400" i="12"/>
  <c r="N399" i="12"/>
  <c r="N349" i="12"/>
  <c r="N350" i="12"/>
  <c r="N397" i="12"/>
  <c r="N396" i="12"/>
  <c r="N420" i="12"/>
  <c r="N416" i="12"/>
  <c r="N418" i="12"/>
  <c r="N419" i="12"/>
  <c r="N417" i="12"/>
  <c r="N410" i="12"/>
  <c r="N421" i="12"/>
  <c r="N395" i="12"/>
  <c r="N412" i="12"/>
  <c r="N413" i="12"/>
  <c r="N414" i="12"/>
  <c r="N411" i="12"/>
  <c r="N415" i="12"/>
  <c r="N423" i="12"/>
  <c r="N422" i="12"/>
  <c r="N391" i="12"/>
  <c r="N389" i="12"/>
  <c r="N398" i="12"/>
  <c r="N362" i="12"/>
  <c r="N428" i="12"/>
  <c r="N430" i="12"/>
  <c r="N429" i="12"/>
  <c r="N431" i="12"/>
  <c r="N439" i="12"/>
  <c r="N355" i="12"/>
  <c r="N392" i="12"/>
  <c r="N424" i="12"/>
  <c r="N426" i="12"/>
  <c r="N425" i="12"/>
  <c r="N409" i="12"/>
  <c r="N388" i="12"/>
  <c r="N390" i="12"/>
  <c r="N435" i="12"/>
  <c r="N434" i="12"/>
  <c r="N379" i="12"/>
  <c r="N380" i="12"/>
  <c r="N438" i="12"/>
  <c r="N436" i="12"/>
  <c r="N437" i="12"/>
  <c r="N376" i="12"/>
  <c r="N375" i="12"/>
  <c r="N377" i="12"/>
  <c r="N378" i="12"/>
  <c r="N374" i="12"/>
  <c r="N404" i="12"/>
  <c r="N385" i="12"/>
  <c r="N382" i="12"/>
  <c r="N386" i="12"/>
  <c r="N383" i="12"/>
  <c r="N384" i="12"/>
  <c r="N387" i="12"/>
  <c r="N354" i="12"/>
  <c r="N443" i="12"/>
  <c r="N405" i="12"/>
  <c r="N432" i="12"/>
  <c r="N433" i="12"/>
  <c r="N373" i="12"/>
  <c r="N364" i="12"/>
  <c r="N365" i="12"/>
  <c r="N363" i="12"/>
  <c r="N366" i="12"/>
  <c r="N371" i="12"/>
  <c r="N372" i="12"/>
  <c r="N370" i="12"/>
  <c r="N369" i="12"/>
  <c r="N367" i="12"/>
  <c r="N368" i="12"/>
  <c r="N442" i="12"/>
  <c r="N407" i="12"/>
  <c r="N440" i="12"/>
  <c r="N393" i="12"/>
  <c r="N408" i="12"/>
  <c r="N406" i="12"/>
  <c r="N441" i="12"/>
  <c r="N427" i="12"/>
  <c r="N381" i="12"/>
  <c r="N273" i="12"/>
  <c r="N274" i="12"/>
  <c r="N277" i="12"/>
  <c r="N276" i="12"/>
  <c r="N275" i="12"/>
  <c r="N223" i="12"/>
  <c r="N221" i="12"/>
  <c r="N222" i="12"/>
  <c r="N535" i="12"/>
  <c r="N253" i="12"/>
  <c r="N531" i="12"/>
  <c r="N534" i="12"/>
  <c r="N249" i="12"/>
  <c r="N259" i="12"/>
  <c r="N251" i="12"/>
  <c r="N260" i="12"/>
  <c r="N250" i="12"/>
  <c r="N533" i="12"/>
  <c r="N248" i="12"/>
  <c r="N537" i="12"/>
  <c r="N536" i="12"/>
  <c r="N262" i="12"/>
  <c r="N261" i="12"/>
  <c r="N252" i="12"/>
  <c r="N245" i="12"/>
  <c r="N246" i="12"/>
  <c r="N247" i="12"/>
  <c r="N532" i="12"/>
  <c r="N257" i="12"/>
  <c r="N256" i="12"/>
  <c r="N254" i="12"/>
  <c r="N255" i="12"/>
  <c r="N258" i="12"/>
  <c r="N594" i="12"/>
  <c r="N93" i="12"/>
  <c r="N92" i="12"/>
  <c r="N133" i="12"/>
  <c r="N108" i="12"/>
  <c r="N101" i="12"/>
  <c r="N109" i="12"/>
  <c r="N111" i="12"/>
  <c r="N102" i="12"/>
  <c r="N110" i="12"/>
  <c r="N145" i="12"/>
  <c r="N144" i="12"/>
  <c r="N146" i="12"/>
  <c r="N138" i="12"/>
  <c r="N137" i="12"/>
  <c r="N142" i="12"/>
  <c r="N143" i="12"/>
  <c r="N132" i="12"/>
  <c r="N139" i="12"/>
  <c r="N100" i="12"/>
  <c r="N119" i="12"/>
  <c r="N104" i="12"/>
  <c r="N105" i="12"/>
  <c r="N103" i="12"/>
  <c r="N147" i="12"/>
  <c r="N141" i="12"/>
  <c r="N125" i="12"/>
  <c r="N112" i="12"/>
  <c r="N134" i="12"/>
  <c r="N113" i="12"/>
  <c r="N135" i="12"/>
  <c r="N140" i="12"/>
  <c r="N127" i="12"/>
  <c r="N106" i="12"/>
  <c r="N107" i="12"/>
  <c r="N130" i="12"/>
  <c r="N129" i="12"/>
  <c r="N128" i="12"/>
  <c r="N126" i="12"/>
  <c r="N114" i="12"/>
  <c r="N116" i="12"/>
  <c r="N118" i="12"/>
  <c r="N117" i="12"/>
  <c r="N115" i="12"/>
  <c r="N123" i="12"/>
  <c r="N124" i="12"/>
  <c r="N122" i="12"/>
  <c r="N120" i="12"/>
  <c r="N121" i="12"/>
  <c r="N131" i="12"/>
  <c r="N136" i="12"/>
  <c r="N193" i="12"/>
  <c r="N194" i="12"/>
  <c r="N192" i="12"/>
  <c r="N154" i="12"/>
  <c r="N159" i="12"/>
  <c r="N157" i="12"/>
  <c r="N158" i="12"/>
  <c r="N165" i="12"/>
  <c r="N170" i="12"/>
  <c r="N168" i="12"/>
  <c r="N166" i="12"/>
  <c r="N167" i="12"/>
  <c r="N184" i="12"/>
  <c r="N173" i="12"/>
  <c r="N174" i="12"/>
  <c r="N189" i="12"/>
  <c r="N187" i="12"/>
  <c r="N179" i="12"/>
  <c r="N180" i="12"/>
  <c r="N178" i="12"/>
  <c r="N190" i="12"/>
  <c r="N191" i="12"/>
  <c r="N185" i="12"/>
  <c r="N188" i="12"/>
  <c r="N183" i="12"/>
  <c r="N186" i="12"/>
  <c r="N177" i="12"/>
  <c r="N176" i="12"/>
  <c r="N175" i="12"/>
  <c r="N182" i="12"/>
  <c r="N181" i="12"/>
  <c r="N153" i="12"/>
  <c r="N169" i="12"/>
  <c r="N155" i="12"/>
  <c r="N156" i="12"/>
  <c r="N151" i="12"/>
  <c r="N152" i="12"/>
  <c r="N195" i="12"/>
  <c r="N163" i="12"/>
  <c r="N162" i="12"/>
  <c r="N171" i="12"/>
  <c r="N160" i="12"/>
  <c r="N161" i="12"/>
  <c r="N164" i="12"/>
  <c r="N172" i="12"/>
  <c r="N263" i="12"/>
  <c r="N94" i="12"/>
  <c r="N530" i="12"/>
  <c r="N553" i="12"/>
  <c r="N552" i="12"/>
  <c r="N551" i="12"/>
  <c r="N88" i="12"/>
  <c r="N37" i="12"/>
  <c r="N38" i="12"/>
  <c r="N91" i="12"/>
  <c r="N90" i="12"/>
  <c r="N89" i="12"/>
  <c r="N51" i="12"/>
  <c r="N13" i="12"/>
  <c r="N49" i="12"/>
  <c r="N14" i="12"/>
  <c r="N12" i="12"/>
  <c r="N11" i="12"/>
  <c r="N48" i="12"/>
  <c r="N34" i="12"/>
  <c r="N47" i="12"/>
  <c r="N50" i="12"/>
  <c r="N21" i="12"/>
  <c r="N9" i="12"/>
  <c r="N36" i="12"/>
  <c r="N63" i="12"/>
  <c r="N35" i="12"/>
  <c r="N10" i="12"/>
  <c r="N25" i="12"/>
  <c r="N33" i="12"/>
  <c r="N32" i="12"/>
  <c r="N62" i="12"/>
  <c r="N45" i="12"/>
  <c r="N44" i="12"/>
  <c r="N60" i="12"/>
  <c r="N56" i="12"/>
  <c r="N58" i="12"/>
  <c r="N61" i="12"/>
  <c r="N59" i="12"/>
  <c r="N57" i="12"/>
  <c r="N85" i="12"/>
  <c r="N86" i="12"/>
  <c r="N39" i="12"/>
  <c r="N40" i="12"/>
  <c r="N41" i="12"/>
  <c r="N42" i="12"/>
  <c r="N46" i="12"/>
  <c r="N64" i="12"/>
  <c r="N65" i="12"/>
  <c r="N69" i="12"/>
  <c r="N70" i="12"/>
  <c r="N68" i="12"/>
  <c r="N66" i="12"/>
  <c r="N67" i="12"/>
  <c r="N73" i="12"/>
  <c r="N77" i="12"/>
  <c r="N78" i="12"/>
  <c r="N79" i="12"/>
  <c r="N75" i="12"/>
  <c r="N74" i="12"/>
  <c r="N76" i="12"/>
  <c r="N71" i="12"/>
  <c r="N72" i="12"/>
  <c r="N81" i="12"/>
  <c r="N84" i="12"/>
  <c r="N83" i="12"/>
  <c r="N82" i="12"/>
  <c r="N80" i="12"/>
  <c r="N6" i="12"/>
  <c r="N8" i="12"/>
  <c r="N5" i="12"/>
  <c r="N7" i="12"/>
  <c r="N2" i="12"/>
  <c r="N4" i="12"/>
  <c r="N3" i="12"/>
  <c r="N43" i="12"/>
  <c r="N22" i="12"/>
  <c r="N23" i="12"/>
  <c r="N24" i="12"/>
  <c r="N26" i="12"/>
  <c r="N27" i="12"/>
  <c r="N29" i="12"/>
  <c r="N31" i="12"/>
  <c r="N30" i="12"/>
  <c r="N28" i="12"/>
  <c r="N55" i="12"/>
  <c r="N54" i="12"/>
  <c r="N52" i="12"/>
  <c r="N53" i="12"/>
  <c r="N17" i="12"/>
  <c r="N20" i="12"/>
  <c r="N18" i="12"/>
  <c r="N16" i="12"/>
  <c r="N19" i="12"/>
  <c r="N15" i="12"/>
  <c r="N87" i="12"/>
  <c r="N151" i="11"/>
  <c r="N138" i="11"/>
  <c r="N141" i="11"/>
  <c r="N142" i="11"/>
  <c r="N143" i="11"/>
  <c r="N140" i="11"/>
  <c r="N139" i="11"/>
  <c r="N144" i="11"/>
  <c r="N107" i="11"/>
  <c r="N149" i="11"/>
  <c r="N148" i="11"/>
  <c r="N150" i="11"/>
  <c r="N147" i="11"/>
  <c r="N108" i="11"/>
  <c r="N145" i="11"/>
  <c r="N106" i="11"/>
  <c r="N146" i="11"/>
  <c r="N109" i="11"/>
  <c r="N74" i="11"/>
  <c r="N79" i="11"/>
  <c r="N75" i="11"/>
  <c r="N76" i="11"/>
  <c r="N77" i="11"/>
  <c r="N78" i="11"/>
  <c r="N104" i="11"/>
  <c r="N180" i="11"/>
  <c r="N157" i="11"/>
  <c r="N87" i="11"/>
  <c r="N86" i="11"/>
  <c r="N103" i="11"/>
  <c r="N99" i="11"/>
  <c r="N102" i="11"/>
  <c r="N101" i="11"/>
  <c r="N100" i="11"/>
  <c r="N83" i="11"/>
  <c r="N82" i="11"/>
  <c r="N84" i="11"/>
  <c r="N96" i="11"/>
  <c r="N97" i="11"/>
  <c r="N95" i="11"/>
  <c r="N94" i="11"/>
  <c r="N93" i="11"/>
  <c r="N92" i="11"/>
  <c r="N91" i="11"/>
  <c r="N89" i="11"/>
  <c r="N90" i="11"/>
  <c r="N88" i="11"/>
  <c r="N85" i="11"/>
  <c r="N81" i="11"/>
  <c r="N98" i="11"/>
  <c r="N168" i="11"/>
  <c r="N169" i="11"/>
  <c r="N80" i="11"/>
  <c r="N156" i="11"/>
  <c r="N167" i="11"/>
  <c r="N158" i="11"/>
  <c r="N72" i="11"/>
  <c r="N179" i="11"/>
  <c r="N177" i="11"/>
  <c r="N178" i="11"/>
  <c r="N155" i="11"/>
  <c r="N164" i="11"/>
  <c r="N165" i="11"/>
  <c r="N163" i="11"/>
  <c r="N166" i="11"/>
  <c r="N160" i="11"/>
  <c r="N162" i="11"/>
  <c r="N161" i="11"/>
  <c r="N159" i="11"/>
  <c r="N172" i="11"/>
  <c r="N174" i="11"/>
  <c r="N171" i="11"/>
  <c r="N170" i="11"/>
  <c r="N173" i="11"/>
  <c r="N175" i="11"/>
  <c r="N176" i="11"/>
  <c r="N68" i="11"/>
  <c r="N69" i="11"/>
  <c r="N67" i="11"/>
  <c r="N70" i="11"/>
  <c r="N71" i="11"/>
  <c r="N117" i="11"/>
  <c r="N131" i="11"/>
  <c r="N129" i="11"/>
  <c r="N130" i="11"/>
  <c r="N128" i="11"/>
  <c r="N127" i="11"/>
  <c r="N132" i="11"/>
  <c r="N136" i="11"/>
  <c r="N137" i="11"/>
  <c r="N134" i="11"/>
  <c r="N133" i="11"/>
  <c r="N135" i="11"/>
  <c r="N116" i="11"/>
  <c r="N105" i="11"/>
  <c r="N123" i="11"/>
  <c r="N121" i="11"/>
  <c r="N122" i="11"/>
  <c r="N126" i="11"/>
  <c r="N120" i="11"/>
  <c r="N125" i="11"/>
  <c r="N124" i="11"/>
  <c r="N114" i="11"/>
  <c r="N115" i="11"/>
  <c r="N111" i="11"/>
  <c r="N110" i="11"/>
  <c r="N112" i="11"/>
  <c r="N113" i="11"/>
  <c r="N119" i="11"/>
  <c r="N118" i="11"/>
  <c r="N73" i="11"/>
  <c r="N152" i="11"/>
  <c r="N154" i="11"/>
  <c r="N153" i="11"/>
  <c r="N47" i="11"/>
  <c r="N60" i="11"/>
  <c r="N50" i="11"/>
  <c r="N48" i="11"/>
  <c r="N49" i="11"/>
  <c r="N59" i="11"/>
  <c r="N54" i="11"/>
  <c r="N55" i="11"/>
  <c r="N56" i="11"/>
  <c r="N57" i="11"/>
  <c r="N52" i="11"/>
  <c r="N46" i="11"/>
  <c r="N51" i="11"/>
  <c r="N53" i="11"/>
  <c r="N58" i="11"/>
  <c r="N62" i="11"/>
  <c r="N64" i="11"/>
  <c r="N66" i="11"/>
  <c r="N65" i="11"/>
  <c r="N61" i="11"/>
  <c r="N63" i="11"/>
  <c r="N45" i="11"/>
  <c r="N10" i="11"/>
  <c r="N2" i="11"/>
  <c r="N17" i="11"/>
  <c r="N18" i="11"/>
  <c r="N22" i="11"/>
  <c r="N19" i="11"/>
  <c r="N20" i="11"/>
  <c r="N21" i="11"/>
  <c r="N15" i="11"/>
  <c r="N11" i="11"/>
  <c r="N14" i="11"/>
  <c r="N12" i="11"/>
  <c r="N16" i="11"/>
  <c r="N13" i="11"/>
  <c r="N6" i="11"/>
  <c r="N5" i="11"/>
  <c r="N4" i="11"/>
  <c r="N9" i="11"/>
  <c r="N8" i="11"/>
  <c r="N24" i="11"/>
  <c r="N23" i="11"/>
  <c r="N28" i="11"/>
  <c r="N26" i="11"/>
  <c r="N25" i="11"/>
  <c r="N27" i="11"/>
  <c r="N36" i="11"/>
  <c r="N37" i="11"/>
  <c r="N39" i="11"/>
  <c r="N40" i="11"/>
  <c r="N38" i="11"/>
  <c r="N31" i="11"/>
  <c r="N29" i="11"/>
  <c r="N32" i="11"/>
  <c r="N30" i="11"/>
  <c r="N34" i="11"/>
  <c r="N33" i="11"/>
  <c r="N42" i="11"/>
  <c r="N43" i="11"/>
  <c r="N44" i="11"/>
  <c r="N41" i="11"/>
  <c r="N7" i="11"/>
  <c r="N35" i="11"/>
  <c r="N3" i="11"/>
  <c r="N101" i="6"/>
  <c r="N102" i="6"/>
  <c r="N27" i="6"/>
  <c r="N105" i="6"/>
  <c r="N26" i="6"/>
  <c r="N25" i="6"/>
  <c r="N106" i="6"/>
  <c r="N104" i="6"/>
  <c r="N29" i="6"/>
  <c r="N99" i="6"/>
  <c r="N98" i="6"/>
  <c r="N70" i="6"/>
  <c r="N64" i="6"/>
  <c r="N79" i="6"/>
  <c r="N63" i="6"/>
  <c r="N75" i="6"/>
  <c r="N68" i="6"/>
  <c r="N69" i="6"/>
  <c r="N67" i="6"/>
  <c r="N72" i="6"/>
  <c r="N77" i="6"/>
  <c r="N65" i="6"/>
  <c r="N73" i="6"/>
  <c r="N71" i="6"/>
  <c r="N66" i="6"/>
  <c r="N80" i="6"/>
  <c r="N76" i="6"/>
  <c r="N78" i="6"/>
  <c r="N74" i="6"/>
  <c r="N81" i="6"/>
  <c r="N130" i="6"/>
  <c r="N129" i="6"/>
  <c r="N135" i="6"/>
  <c r="N137" i="6"/>
  <c r="N123" i="6"/>
  <c r="N133" i="6"/>
  <c r="N136" i="6"/>
  <c r="N127" i="6"/>
  <c r="N134" i="6"/>
  <c r="N126" i="6"/>
  <c r="N125" i="6"/>
  <c r="N128" i="6"/>
  <c r="N132" i="6"/>
  <c r="N124" i="6"/>
  <c r="N131" i="6"/>
  <c r="N119" i="6"/>
  <c r="N115" i="6"/>
  <c r="N117" i="6"/>
  <c r="N120" i="6"/>
  <c r="N113" i="6"/>
  <c r="N116" i="6"/>
  <c r="N114" i="6"/>
  <c r="N107" i="6"/>
  <c r="N109" i="6"/>
  <c r="N111" i="6"/>
  <c r="N140" i="6"/>
  <c r="N108" i="6"/>
  <c r="N110" i="6"/>
  <c r="N61" i="6"/>
  <c r="N62" i="6"/>
  <c r="N59" i="6"/>
  <c r="N60" i="6"/>
  <c r="N121" i="6"/>
  <c r="N118" i="6"/>
  <c r="N122" i="6"/>
  <c r="N47" i="6"/>
  <c r="N32" i="6"/>
  <c r="N36" i="6"/>
  <c r="N34" i="6"/>
  <c r="N31" i="6"/>
  <c r="N33" i="6"/>
  <c r="N35" i="6"/>
  <c r="N56" i="6"/>
  <c r="N57" i="6"/>
  <c r="N55" i="6"/>
  <c r="N54" i="6"/>
  <c r="N52" i="6"/>
  <c r="N53" i="6"/>
  <c r="N58" i="6"/>
  <c r="N48" i="6"/>
  <c r="N49" i="6"/>
  <c r="N50" i="6"/>
  <c r="N40" i="6"/>
  <c r="N39" i="6"/>
  <c r="N37" i="6"/>
  <c r="N38" i="6"/>
  <c r="N112" i="6"/>
  <c r="N28" i="6"/>
  <c r="N91" i="6"/>
  <c r="N82" i="6"/>
  <c r="N96" i="6"/>
  <c r="N95" i="6"/>
  <c r="N84" i="6"/>
  <c r="N97" i="6"/>
  <c r="N87" i="6"/>
  <c r="N89" i="6"/>
  <c r="N90" i="6"/>
  <c r="N83" i="6"/>
  <c r="N85" i="6"/>
  <c r="N86" i="6"/>
  <c r="N92" i="6"/>
  <c r="N94" i="6"/>
  <c r="N93" i="6"/>
  <c r="N88" i="6"/>
  <c r="N51" i="6"/>
  <c r="N30" i="6"/>
  <c r="N103" i="6"/>
  <c r="N42" i="6"/>
  <c r="N41" i="6"/>
  <c r="N46" i="6"/>
  <c r="N45" i="6"/>
  <c r="N44" i="6"/>
  <c r="N43" i="6"/>
  <c r="N139" i="6"/>
  <c r="N138" i="6"/>
  <c r="N7" i="6"/>
  <c r="N17" i="6"/>
  <c r="N16" i="6"/>
  <c r="N9" i="6"/>
  <c r="N18" i="6"/>
  <c r="N3" i="6"/>
  <c r="N2" i="6"/>
  <c r="N19" i="6"/>
  <c r="N20" i="6"/>
  <c r="N21" i="6"/>
  <c r="N22" i="6"/>
  <c r="N8" i="6"/>
  <c r="N5" i="6"/>
  <c r="N6" i="6"/>
  <c r="N4" i="6"/>
  <c r="N11" i="6"/>
  <c r="N14" i="6"/>
  <c r="N12" i="6"/>
  <c r="N15" i="6"/>
  <c r="N10" i="6"/>
  <c r="N13" i="6"/>
  <c r="N24" i="6"/>
  <c r="N23" i="6"/>
</calcChain>
</file>

<file path=xl/sharedStrings.xml><?xml version="1.0" encoding="utf-8"?>
<sst xmlns="http://schemas.openxmlformats.org/spreadsheetml/2006/main" count="19858" uniqueCount="4665">
  <si>
    <t>LOCATION</t>
  </si>
  <si>
    <t>LOT #</t>
  </si>
  <si>
    <t>CATEGORY</t>
  </si>
  <si>
    <t>SEASON CODE</t>
  </si>
  <si>
    <t># OF PALLETS</t>
  </si>
  <si>
    <t>ORIGINAL RETAIL</t>
  </si>
  <si>
    <t># OF UNITS</t>
  </si>
  <si>
    <t>INTIMATE APPAREL/ SLEEPWEAR</t>
  </si>
  <si>
    <t>PRIMARILY FALL AND WINTER</t>
  </si>
  <si>
    <t>TOTAL ORIGINAL RETAIL</t>
  </si>
  <si>
    <t>DIVISION</t>
  </si>
  <si>
    <t>MCY</t>
  </si>
  <si>
    <t>UPC</t>
  </si>
  <si>
    <t>ITEM DESCRIPTION</t>
  </si>
  <si>
    <t>ORIGINAL QTY</t>
  </si>
  <si>
    <t>VENDOR / STYLE #</t>
  </si>
  <si>
    <t>COLOR</t>
  </si>
  <si>
    <t>SIZE</t>
  </si>
  <si>
    <t>DEPARTMENT NAME</t>
  </si>
  <si>
    <t>VENDOR NAME</t>
  </si>
  <si>
    <t>COUNTRY OF ORIGIN</t>
  </si>
  <si>
    <t>FABRIC CONTENT</t>
  </si>
  <si>
    <t>IMAGE</t>
  </si>
  <si>
    <t>733003827465</t>
  </si>
  <si>
    <t>Alfani Velour Hoodie Pants Pajama S Purple Swan XL</t>
  </si>
  <si>
    <t>100111626MS</t>
  </si>
  <si>
    <t>LT/PAS PUR</t>
  </si>
  <si>
    <t>XL</t>
  </si>
  <si>
    <t>ALFANISLEEPWR</t>
  </si>
  <si>
    <t>ALFANI-MMG</t>
  </si>
  <si>
    <t>100106927MS</t>
  </si>
  <si>
    <t>BLACK</t>
  </si>
  <si>
    <t>LARGE</t>
  </si>
  <si>
    <t>733003829889</t>
  </si>
  <si>
    <t>Alfani French Terry Lounge Pajama Set Black XL</t>
  </si>
  <si>
    <t>733003830014</t>
  </si>
  <si>
    <t>Alfani French Terry Lounge Pajama Set Garnet Stone XL</t>
  </si>
  <si>
    <t>RED</t>
  </si>
  <si>
    <t>733003829995</t>
  </si>
  <si>
    <t>Alfani French Terry Lounge Pajama Set Garnet Stone M</t>
  </si>
  <si>
    <t>M</t>
  </si>
  <si>
    <t>733002042029</t>
  </si>
  <si>
    <t>Alfani Leggings Heather Charcoal M</t>
  </si>
  <si>
    <t>100116724MS</t>
  </si>
  <si>
    <t>DARK GRAY</t>
  </si>
  <si>
    <t>733002042005</t>
  </si>
  <si>
    <t>Alfani Leggings Heather Charcoal XS</t>
  </si>
  <si>
    <t>XS</t>
  </si>
  <si>
    <t>733002042036</t>
  </si>
  <si>
    <t>Alfani Leggings Heather Charcoal L</t>
  </si>
  <si>
    <t>733002041893</t>
  </si>
  <si>
    <t>Alfani Leggings Classic Black XS</t>
  </si>
  <si>
    <t>100116723MS</t>
  </si>
  <si>
    <t>733002041909</t>
  </si>
  <si>
    <t>Alfani Leggings Classic Black S</t>
  </si>
  <si>
    <t>S</t>
  </si>
  <si>
    <t>100140747MS</t>
  </si>
  <si>
    <t>WINE</t>
  </si>
  <si>
    <t>BROWN</t>
  </si>
  <si>
    <t>733002042074</t>
  </si>
  <si>
    <t>Alfani Biker Shorts Classic Black S</t>
  </si>
  <si>
    <t>100116725MS</t>
  </si>
  <si>
    <t>NAVY</t>
  </si>
  <si>
    <t>733002042135</t>
  </si>
  <si>
    <t>Alfani Deep V-Neck Bodysuit Classic Black S</t>
  </si>
  <si>
    <t>100116727MS</t>
  </si>
  <si>
    <t>733002041855</t>
  </si>
  <si>
    <t>Alfani Tank Top Heather Charcoal M</t>
  </si>
  <si>
    <t>100116721MS</t>
  </si>
  <si>
    <t>733002041664</t>
  </si>
  <si>
    <t>Alfani Tank Top Classic Black S</t>
  </si>
  <si>
    <t>100116720MS</t>
  </si>
  <si>
    <t>733002041657</t>
  </si>
  <si>
    <t>Alfani Tank Top Classic Black XS</t>
  </si>
  <si>
    <t>733002041787</t>
  </si>
  <si>
    <t>Alfani Tank Top Crystal Pink S</t>
  </si>
  <si>
    <t>LT/PASPINK</t>
  </si>
  <si>
    <t>100096762MS</t>
  </si>
  <si>
    <t>PINK</t>
  </si>
  <si>
    <t>733004168482</t>
  </si>
  <si>
    <t>Alfani Lounge Wrap Night Shadow M</t>
  </si>
  <si>
    <t>100131300MS</t>
  </si>
  <si>
    <t>DARK BLUE</t>
  </si>
  <si>
    <t>GRAY</t>
  </si>
  <si>
    <t>100125876MS</t>
  </si>
  <si>
    <t>LT/PASBLUE</t>
  </si>
  <si>
    <t>GREEN</t>
  </si>
  <si>
    <t>2XL</t>
  </si>
  <si>
    <t>733004250880</t>
  </si>
  <si>
    <t>Alfani Soft Long-Sleeve Sleep Top Hy Charcoal Htr M</t>
  </si>
  <si>
    <t>100139733MS</t>
  </si>
  <si>
    <t>733004250903</t>
  </si>
  <si>
    <t>Alfani Soft Long-Sleeve Sleep Top Hy Charcoal Htr XL</t>
  </si>
  <si>
    <t>733002538409</t>
  </si>
  <si>
    <t>Alfani Piping Trim Tank Shorts Paja Geo XL</t>
  </si>
  <si>
    <t>100121120MS</t>
  </si>
  <si>
    <t>733004250828</t>
  </si>
  <si>
    <t>Alfani Soft Long-Sleeve Sleep Top Night Shadow M</t>
  </si>
  <si>
    <t>100139732MS</t>
  </si>
  <si>
    <t>733004095320</t>
  </si>
  <si>
    <t>Alfani Leggings Night Shadow M</t>
  </si>
  <si>
    <t>100096772MS</t>
  </si>
  <si>
    <t>MED GRAY</t>
  </si>
  <si>
    <t>100131295MS</t>
  </si>
  <si>
    <t>PURPLE</t>
  </si>
  <si>
    <t>100131297MS</t>
  </si>
  <si>
    <t>100121093MS</t>
  </si>
  <si>
    <t>MED GREEN</t>
  </si>
  <si>
    <t>36 B</t>
  </si>
  <si>
    <t>BRAS</t>
  </si>
  <si>
    <t>BALI/HANESBRANDS INC</t>
  </si>
  <si>
    <t>IMPORTED</t>
  </si>
  <si>
    <t>36 C</t>
  </si>
  <si>
    <t>NYLON/SPANDEX</t>
  </si>
  <si>
    <t>BEIGE</t>
  </si>
  <si>
    <t>36 D</t>
  </si>
  <si>
    <t>PLAYTEX/HANESBRANDS INC</t>
  </si>
  <si>
    <t>42 D</t>
  </si>
  <si>
    <t>NYLON/ELASTANE</t>
  </si>
  <si>
    <t>DF1003</t>
  </si>
  <si>
    <t>LT BEIGE</t>
  </si>
  <si>
    <t>38 D</t>
  </si>
  <si>
    <t>WHITE</t>
  </si>
  <si>
    <t>HANESBRANDS INC</t>
  </si>
  <si>
    <t>NATURAL</t>
  </si>
  <si>
    <t>DARK BEIGE</t>
  </si>
  <si>
    <t>36 DD</t>
  </si>
  <si>
    <t>MED BEIGE</t>
  </si>
  <si>
    <t>VANITY FAIR BRAND/FRUIT OF THE LOOM</t>
  </si>
  <si>
    <t>100131382MS</t>
  </si>
  <si>
    <t>CC SLEEPWEAR</t>
  </si>
  <si>
    <t>CHARTER CLUB MISS-MMG</t>
  </si>
  <si>
    <t>733003969981</t>
  </si>
  <si>
    <t>Charter Club Ribbed Henley Pajama Top Candy Red XL</t>
  </si>
  <si>
    <t>100131999MS</t>
  </si>
  <si>
    <t>MEDIUM RED</t>
  </si>
  <si>
    <t>TOP: COTTON/POLYESTER; PANTS: COTTON</t>
  </si>
  <si>
    <t>DARK PINK</t>
  </si>
  <si>
    <t>100131396MS</t>
  </si>
  <si>
    <t>YELLOW</t>
  </si>
  <si>
    <t>MED PURPLE</t>
  </si>
  <si>
    <t>QS6527</t>
  </si>
  <si>
    <t>CK INNERWEAR</t>
  </si>
  <si>
    <t>CALVIN KLEIN-WARNACO</t>
  </si>
  <si>
    <t>QS6686</t>
  </si>
  <si>
    <t>QS6681</t>
  </si>
  <si>
    <t>38 B (B/C)</t>
  </si>
  <si>
    <t>34 C</t>
  </si>
  <si>
    <t>QF5666</t>
  </si>
  <si>
    <t>1X</t>
  </si>
  <si>
    <t>QF5380</t>
  </si>
  <si>
    <t>790812744321</t>
  </si>
  <si>
    <t>Calvin Klein Tank Top Jogger Pants Sleep Black L</t>
  </si>
  <si>
    <t>QS6815</t>
  </si>
  <si>
    <t>MADE IN SRI LANKA</t>
  </si>
  <si>
    <t>66.5% VISCOSE FROM BAMBOO/28.5% COTTON/5% ELASTANE</t>
  </si>
  <si>
    <t>790812551332</t>
  </si>
  <si>
    <t>QS6680</t>
  </si>
  <si>
    <t>3X</t>
  </si>
  <si>
    <t>790812744369</t>
  </si>
  <si>
    <t>Calvin Klein Tank Top Jogger Pants Sleep Shoreline M</t>
  </si>
  <si>
    <t>790812551370</t>
  </si>
  <si>
    <t>Calvin Klein Pure Lounge Sleep Shorts Grey Heather S</t>
  </si>
  <si>
    <t>BRGHT PINK</t>
  </si>
  <si>
    <t>790812874974</t>
  </si>
  <si>
    <t>Calvin Klein CK One Basic Lounge Terry Legg Ashford Grey S</t>
  </si>
  <si>
    <t>QS6426</t>
  </si>
  <si>
    <t>COTTON/ELASTANE</t>
  </si>
  <si>
    <t>BRNOVERFLW</t>
  </si>
  <si>
    <t>BGEOVERFLW</t>
  </si>
  <si>
    <t>790812744208</t>
  </si>
  <si>
    <t>Calvin Klein T-Shirt Shorts Sleep Set Deep Sea Rose S</t>
  </si>
  <si>
    <t>QS6814</t>
  </si>
  <si>
    <t>MED BROWN</t>
  </si>
  <si>
    <t>MED BLUE</t>
  </si>
  <si>
    <t>QS6812</t>
  </si>
  <si>
    <t>QF5727</t>
  </si>
  <si>
    <t>BRIGHT RED</t>
  </si>
  <si>
    <t>790812693735</t>
  </si>
  <si>
    <t>Calvin Klein Womens CK One Cotton Unlined Lilium Print_strawberry Shake S</t>
  </si>
  <si>
    <t>55% COTTON/37% MODAL/8% ELASTANE</t>
  </si>
  <si>
    <t>790812693728</t>
  </si>
  <si>
    <t>Calvin Klein Womens CK One Cotton Unlined Lilium Print_strawberry Shake XS</t>
  </si>
  <si>
    <t>QF1200</t>
  </si>
  <si>
    <t>OSFA</t>
  </si>
  <si>
    <t>D3429</t>
  </si>
  <si>
    <t>POLYAMIDE/ELASTANE; GUSSET: COTTON</t>
  </si>
  <si>
    <t>QD3644</t>
  </si>
  <si>
    <t>D3508</t>
  </si>
  <si>
    <t>LT/PAS GRN</t>
  </si>
  <si>
    <t>QD3692</t>
  </si>
  <si>
    <t>D3507</t>
  </si>
  <si>
    <t>BODY: POLYAMIDE/ELASTANE</t>
  </si>
  <si>
    <t>D3428</t>
  </si>
  <si>
    <t>QD3705</t>
  </si>
  <si>
    <t>DARKPURPLE</t>
  </si>
  <si>
    <t>790812565599</t>
  </si>
  <si>
    <t>Calvin Klein Womens Flirty Bikini Underwea Summer Eclipse_fruit Center M</t>
  </si>
  <si>
    <t>QD3840</t>
  </si>
  <si>
    <t>LT/PAS ORG</t>
  </si>
  <si>
    <t>QD3838</t>
  </si>
  <si>
    <t>BLUE</t>
  </si>
  <si>
    <t>DARK GREEN</t>
  </si>
  <si>
    <t>11531148215</t>
  </si>
  <si>
    <t>Calvin Klein Invisibles Thong D3428 Bronzed Nude 3 XL</t>
  </si>
  <si>
    <t>MED PINK</t>
  </si>
  <si>
    <t>790812594766</t>
  </si>
  <si>
    <t>Calvin Klein Womens One Size Hipster Under Sleek Silver ONE SIZE</t>
  </si>
  <si>
    <t>QD3863</t>
  </si>
  <si>
    <t>NYLON/ ELASTANE; GUSSET LINING: COTTON</t>
  </si>
  <si>
    <t>790812815151</t>
  </si>
  <si>
    <t>Calvin Klein Invisibles Thong D3428 Sunday Leopard_fatigues XL</t>
  </si>
  <si>
    <t>POLYAMIDE/ ELASTANE; GUSSET: COTTON</t>
  </si>
  <si>
    <t>QD3861</t>
  </si>
  <si>
    <t>ORANGE</t>
  </si>
  <si>
    <t>QD3670</t>
  </si>
  <si>
    <t>POLYAMIDE/ELASTANE</t>
  </si>
  <si>
    <t>COLLECTIONS</t>
  </si>
  <si>
    <t>CHANTELLE</t>
  </si>
  <si>
    <t>NATORI/DANA-CO LLC</t>
  </si>
  <si>
    <t>MADE IN CHINA</t>
  </si>
  <si>
    <t>B.TEMPT'D/WACOAL AMERICA INC</t>
  </si>
  <si>
    <t>DKNY/KOMAR INTIMATES LLC</t>
  </si>
  <si>
    <t>32 D</t>
  </si>
  <si>
    <t>NYLON/SPANDEX; GUSSET: COTTON</t>
  </si>
  <si>
    <t>MED ORANGE</t>
  </si>
  <si>
    <t>TOMMY HILFIGER/D2/DELTA GALIL</t>
  </si>
  <si>
    <t>B OR MED</t>
  </si>
  <si>
    <t>A OR SMALL</t>
  </si>
  <si>
    <t>POLYESTER/VISCOSE/SPANDEX</t>
  </si>
  <si>
    <t>PINKOVERFL</t>
  </si>
  <si>
    <t>X LARGE</t>
  </si>
  <si>
    <t>38 DDD</t>
  </si>
  <si>
    <t>DESGNR INNRWR</t>
  </si>
  <si>
    <t>WACOAL INC</t>
  </si>
  <si>
    <t>40 C</t>
  </si>
  <si>
    <t>40 DD</t>
  </si>
  <si>
    <t>MODAL/SPANDEX; LACE: NYLON/SPANDEX; GUSSET LINING: COTTON</t>
  </si>
  <si>
    <t>DARK RED</t>
  </si>
  <si>
    <t>T90524</t>
  </si>
  <si>
    <t>DRESSY SLPWR</t>
  </si>
  <si>
    <t>FLORA/ESSENTIAL BRANDS INC</t>
  </si>
  <si>
    <t>714370572110</t>
  </si>
  <si>
    <t>Flora by Flora Nikrooz Audrey Solid T-Shirt Printed Grey M</t>
  </si>
  <si>
    <t>SRW043</t>
  </si>
  <si>
    <t>MGT IND DBA CALIFORNIA DYNASTY</t>
  </si>
  <si>
    <t>T90356</t>
  </si>
  <si>
    <t>MES020</t>
  </si>
  <si>
    <t>T90533</t>
  </si>
  <si>
    <t>714370523297</t>
  </si>
  <si>
    <t>Flora by Flora Nikrooz Lace-Trim Ribbed Sleep Shirt Navy M</t>
  </si>
  <si>
    <t>T90447</t>
  </si>
  <si>
    <t>761321692397</t>
  </si>
  <si>
    <t>Linea Donatella Tied-Dyed Wrap Robe Turquoise Orchid SM</t>
  </si>
  <si>
    <t>BTY130</t>
  </si>
  <si>
    <t>S/M</t>
  </si>
  <si>
    <t>FBT110</t>
  </si>
  <si>
    <t>733003634537</t>
  </si>
  <si>
    <t>Family Pajamas x Red Buff Check M</t>
  </si>
  <si>
    <t>MEDIUM S/S</t>
  </si>
  <si>
    <t>FAMLYPJ/DSGSL</t>
  </si>
  <si>
    <t>FAMILY PJS-MMG</t>
  </si>
  <si>
    <t>XLARGE S/S</t>
  </si>
  <si>
    <t>INC SLEEPWR</t>
  </si>
  <si>
    <t>INC-MMG</t>
  </si>
  <si>
    <t>100116883MS</t>
  </si>
  <si>
    <t>JENNI COLLECT</t>
  </si>
  <si>
    <t>JENNI-MMG</t>
  </si>
  <si>
    <t>100151453MS</t>
  </si>
  <si>
    <t>DARK BROWN</t>
  </si>
  <si>
    <t>BEIGEKHAKI</t>
  </si>
  <si>
    <t>100155776MS</t>
  </si>
  <si>
    <t>733004162244</t>
  </si>
  <si>
    <t>Jenni Printed Tie Dyed Long Sleeve T Stars XL</t>
  </si>
  <si>
    <t>100140726MS</t>
  </si>
  <si>
    <t>100129798MS</t>
  </si>
  <si>
    <t>733004017889</t>
  </si>
  <si>
    <t>Jenni Printed Sleep Shirt Plum Wine Td XS</t>
  </si>
  <si>
    <t>100127284MS</t>
  </si>
  <si>
    <t>733004017896</t>
  </si>
  <si>
    <t>Jenni Printed Sleep Shirt Plum Wine Td S</t>
  </si>
  <si>
    <t>733004893742</t>
  </si>
  <si>
    <t>Jenni Super-Soft Long-Sleeve Sleep T Withered Rose M</t>
  </si>
  <si>
    <t>100139845MS</t>
  </si>
  <si>
    <t>733004893698</t>
  </si>
  <si>
    <t>Jenni Super-Soft Long-Sleeve Sleep T Dusty Jade L</t>
  </si>
  <si>
    <t>2X</t>
  </si>
  <si>
    <t>100131281MS</t>
  </si>
  <si>
    <t>733004105890</t>
  </si>
  <si>
    <t>Jenni Packaged Pajama Set Constellation M</t>
  </si>
  <si>
    <t>100127269MS</t>
  </si>
  <si>
    <t>733003868604</t>
  </si>
  <si>
    <t>Jenni Jogger Pajama Pants Celestial L</t>
  </si>
  <si>
    <t>100131290MS</t>
  </si>
  <si>
    <t>733003868628</t>
  </si>
  <si>
    <t>Jenni Jogger Pajama Pants Celestial XXL</t>
  </si>
  <si>
    <t>733003868598</t>
  </si>
  <si>
    <t>Jenni Jogger Pajama Pants Celestial M</t>
  </si>
  <si>
    <t>733003868611</t>
  </si>
  <si>
    <t>Jenni Jogger Pajama Pants Celestial XL</t>
  </si>
  <si>
    <t>Jenni Jogger Pajama Pants Leopard L</t>
  </si>
  <si>
    <t>100120929MS</t>
  </si>
  <si>
    <t>100116884MS</t>
  </si>
  <si>
    <t>RAYON/SPANDEX</t>
  </si>
  <si>
    <t>733002063956</t>
  </si>
  <si>
    <t>Jenni Solid Leggings Sailors Delight M</t>
  </si>
  <si>
    <t>100117296MS</t>
  </si>
  <si>
    <t>100145758MS</t>
  </si>
  <si>
    <t>733004860393</t>
  </si>
  <si>
    <t>Jenni Solid Ribbed Tank Top Olive XS</t>
  </si>
  <si>
    <t>733004860782</t>
  </si>
  <si>
    <t>Jenni Ribbed Sleep Tank Top True Red XS</t>
  </si>
  <si>
    <t>100128014MS</t>
  </si>
  <si>
    <t>733004105203</t>
  </si>
  <si>
    <t>Jenni Thermal Sleep Shirt June Bug S</t>
  </si>
  <si>
    <t>100127277MS</t>
  </si>
  <si>
    <t>100131275MS</t>
  </si>
  <si>
    <t>100129796MS</t>
  </si>
  <si>
    <t>733003863814</t>
  </si>
  <si>
    <t>Jenni Printed Jersey Pajama Pants Simple Leo S</t>
  </si>
  <si>
    <t>733004713729</t>
  </si>
  <si>
    <t>Jenni Ribbed Chemise Nightgown Pastel Tie Dye S</t>
  </si>
  <si>
    <t>100136973MS</t>
  </si>
  <si>
    <t>733003863326</t>
  </si>
  <si>
    <t>Jenni Solid Long-Sleeve Pajama Top Sleep Grey Hthr M</t>
  </si>
  <si>
    <t>100127253MS</t>
  </si>
  <si>
    <t>733003863135</t>
  </si>
  <si>
    <t>Jenni Solid Long-Sleeve Pajama Top Navy Sail L</t>
  </si>
  <si>
    <t>100127252MS</t>
  </si>
  <si>
    <t>733003863098</t>
  </si>
  <si>
    <t>Jenni Solid Long-Sleeve Pajama Top June Bug XL</t>
  </si>
  <si>
    <t>733003863210</t>
  </si>
  <si>
    <t>Jenni Solid Long-Sleeve Pajama Top Papaya Punch S</t>
  </si>
  <si>
    <t>JENNI-MMG/RWI</t>
  </si>
  <si>
    <t>100132729MS</t>
  </si>
  <si>
    <t>100087843MS</t>
  </si>
  <si>
    <t>100117298MS</t>
  </si>
  <si>
    <t>733003869021</t>
  </si>
  <si>
    <t>Jenni Ribbed Sleep Tank Top Celestial XS</t>
  </si>
  <si>
    <t>100131527MS</t>
  </si>
  <si>
    <t>733003869229</t>
  </si>
  <si>
    <t>Jenni Ribbed Sleep Tank Top Celestial XXL</t>
  </si>
  <si>
    <t>100116737MS</t>
  </si>
  <si>
    <t>NEOTRAD SLPWR</t>
  </si>
  <si>
    <t>DONNA KARAN/KOMAR</t>
  </si>
  <si>
    <t>Y2622475</t>
  </si>
  <si>
    <t>PINKOVERPL</t>
  </si>
  <si>
    <t>HONEYDEW/PARADISE LINGERIE INC</t>
  </si>
  <si>
    <t>POLYESTER/RAYON/SPANDEX</t>
  </si>
  <si>
    <t>CHARCOAL</t>
  </si>
  <si>
    <t>889945269808</t>
  </si>
  <si>
    <t>Honeydew Baby Fleece Hoodie Lounge Set Vixen M</t>
  </si>
  <si>
    <t>889945229536</t>
  </si>
  <si>
    <t>Honeydew Honeydew Womens Sun Lover Lou Cove S</t>
  </si>
  <si>
    <t>JEZEBEL/PIEGE COMPANY INC</t>
  </si>
  <si>
    <t>889945233403</t>
  </si>
  <si>
    <t>Honeydew Honeydew Something Sweet Pajam Angelfish Dip-dye XL</t>
  </si>
  <si>
    <t>REDOVERFLW</t>
  </si>
  <si>
    <t>E &amp; E CO LTD</t>
  </si>
  <si>
    <t>CSLLSS</t>
  </si>
  <si>
    <t>CHAMPION/HANESBRANDS INC</t>
  </si>
  <si>
    <t>194959406362</t>
  </si>
  <si>
    <t>Champion Long-Sleeve Top Jogger Pants Cargo Olive M</t>
  </si>
  <si>
    <t>671478824834</t>
  </si>
  <si>
    <t>Insomniax Printed Long Sleeve Pajama Top Heather Grey M</t>
  </si>
  <si>
    <t>RZ9IXL4</t>
  </si>
  <si>
    <t>PJ SALVAGE/DELTA GALIL USA INC</t>
  </si>
  <si>
    <t>671478824827</t>
  </si>
  <si>
    <t>Insomniax Printed Long Sleeve Pajama Top Black M</t>
  </si>
  <si>
    <t>192703052605</t>
  </si>
  <si>
    <t>Felina Velvety Jogger Pajama Pants Charcoal Heather L</t>
  </si>
  <si>
    <t>PJ211516</t>
  </si>
  <si>
    <t>HUE HOSIERY/KAYSER ROTH</t>
  </si>
  <si>
    <t>192703066718</t>
  </si>
  <si>
    <t>Felina Denali Cozy Cropped Knit Sleep Black XL</t>
  </si>
  <si>
    <t>26718814531</t>
  </si>
  <si>
    <t>Roudelain rop shoulder hoodie and slim l Animal Blurred Soft Silver Nh M</t>
  </si>
  <si>
    <t>EBJE003M</t>
  </si>
  <si>
    <t>SILVER</t>
  </si>
  <si>
    <t>JACLYN INC</t>
  </si>
  <si>
    <t>26718814524</t>
  </si>
  <si>
    <t>Roudelain rop shoulder hoodie and slim l Animal Blurred Soft Silver Nh L</t>
  </si>
  <si>
    <t>EBJE070M</t>
  </si>
  <si>
    <t>26718880055</t>
  </si>
  <si>
    <t>Roudelain Fuzzy Luxe Pajama Set Zebra Camo White XL</t>
  </si>
  <si>
    <t>EBJE315M</t>
  </si>
  <si>
    <t>EBJE013M</t>
  </si>
  <si>
    <t>2838B</t>
  </si>
  <si>
    <t>EBJE215M</t>
  </si>
  <si>
    <t>PJ222125</t>
  </si>
  <si>
    <t>26718884954</t>
  </si>
  <si>
    <t>Roudelain Cashmere Luxe Long-Sleeve Paja Parchment Solidabove Leopard M</t>
  </si>
  <si>
    <t>EBJE397Z</t>
  </si>
  <si>
    <t>DREAM LOUNGE (THE)</t>
  </si>
  <si>
    <t>RX9IXTK</t>
  </si>
  <si>
    <t>26718797629</t>
  </si>
  <si>
    <t>Roudelain Brushed Butter Knit Pajama Set Disco Leopard M</t>
  </si>
  <si>
    <t>EBJE012Z</t>
  </si>
  <si>
    <t>26718800084</t>
  </si>
  <si>
    <t>Roudelain T-Shirt Shorts Pajama Set Tradewinds Animal Blurred M</t>
  </si>
  <si>
    <t>EBJE277M</t>
  </si>
  <si>
    <t>W320610</t>
  </si>
  <si>
    <t>EAJE191</t>
  </si>
  <si>
    <t>G121704</t>
  </si>
  <si>
    <t>26718798688</t>
  </si>
  <si>
    <t>Roudelain 2-Pk. Sleep Shorts Echo Tie Dyevintage Indigo M</t>
  </si>
  <si>
    <t>EBJE281M</t>
  </si>
  <si>
    <t>EAJE352Z</t>
  </si>
  <si>
    <t>EBJN047Z</t>
  </si>
  <si>
    <t>EBJS049Z</t>
  </si>
  <si>
    <t>26718835338</t>
  </si>
  <si>
    <t>Jaclyn Intimates Super-Soft Short Sleeve Sleep Sketchy Stars White L</t>
  </si>
  <si>
    <t>PANTIES</t>
  </si>
  <si>
    <t>JOCKEY FOR HER</t>
  </si>
  <si>
    <t>6</t>
  </si>
  <si>
    <t>ALL COTTON</t>
  </si>
  <si>
    <t>5</t>
  </si>
  <si>
    <t>NYLON/SPANDEX/COTTON</t>
  </si>
  <si>
    <t>7</t>
  </si>
  <si>
    <t>17326779923</t>
  </si>
  <si>
    <t>Bali Microfiber Hi Cut Brief 303J In the Navy 89</t>
  </si>
  <si>
    <t>303J</t>
  </si>
  <si>
    <t>9</t>
  </si>
  <si>
    <t>NYLON</t>
  </si>
  <si>
    <t>COTTON/NYLON/SPANDEX</t>
  </si>
  <si>
    <t>733002497133</t>
  </si>
  <si>
    <t>INC International Concepts Sheer Swiss Dot Cupped Bodysui Washed White XXL</t>
  </si>
  <si>
    <t>PB BRAS</t>
  </si>
  <si>
    <t>INC-MMG/MMG-INC HOSIERY/GLOBL LEGWR</t>
  </si>
  <si>
    <t>733002497119</t>
  </si>
  <si>
    <t>INC International Concepts Sheer Swiss Dot Cupped Bodysui Washed White L</t>
  </si>
  <si>
    <t>NYLON/SPANDEX/POLYESTER; GUSSET LINING: COTTON</t>
  </si>
  <si>
    <t>733002497102</t>
  </si>
  <si>
    <t>INC International Concepts Sheer Swiss Dot Cupped Bodysui Washed White M</t>
  </si>
  <si>
    <t>733004165764</t>
  </si>
  <si>
    <t>INC International Concepts Long-Sleeve Lace Mesh Bodysuit Foxglove L</t>
  </si>
  <si>
    <t>MMG-INC SLEEPWEAR</t>
  </si>
  <si>
    <t>733004809996</t>
  </si>
  <si>
    <t>INC International Concepts Womens Lace Bralette Jazzy Pink M</t>
  </si>
  <si>
    <t>733003405762</t>
  </si>
  <si>
    <t>INC International Concepts Womens Lace Bralette Foxglove L</t>
  </si>
  <si>
    <t>733004810299</t>
  </si>
  <si>
    <t>INC International Concepts Womens Floral-Lace-Trim Brale Kissed Lips L</t>
  </si>
  <si>
    <t>733004810275</t>
  </si>
  <si>
    <t>INC International Concepts Womens Floral-Lace-Trim Brale Kissed Lips S</t>
  </si>
  <si>
    <t>733004810282</t>
  </si>
  <si>
    <t>INC International Concepts Womens Floral-Lace-Trim Brale Kissed Lips M</t>
  </si>
  <si>
    <t>733002692026</t>
  </si>
  <si>
    <t>INC International Concepts Womens Lace Thong Underwear Dutch Pink XL</t>
  </si>
  <si>
    <t>733003405878</t>
  </si>
  <si>
    <t>INC International Concepts Womens Lace Thong Underwear Zen Blue XL</t>
  </si>
  <si>
    <t>733002691999</t>
  </si>
  <si>
    <t>INC International Concepts Womens Lace Thong Underwear Dutch Pink S</t>
  </si>
  <si>
    <t>733003405984</t>
  </si>
  <si>
    <t>INC International Concepts Womens Lace Thong Underwear Foxglove XXL</t>
  </si>
  <si>
    <t>733003405922</t>
  </si>
  <si>
    <t>INC International Concepts Womens Lace Thong Underwear Purple Dynasty XL</t>
  </si>
  <si>
    <t>PB PANTIES</t>
  </si>
  <si>
    <t>GOLD</t>
  </si>
  <si>
    <t>JENNI-EDI/SECRET FASHION INC</t>
  </si>
  <si>
    <t>733004885594</t>
  </si>
  <si>
    <t>Jenni Womens Leopard Lace Thong Junebug XXL</t>
  </si>
  <si>
    <t>733004885679</t>
  </si>
  <si>
    <t>Jenni Womens Leopard Lace Thong Navy Sail L</t>
  </si>
  <si>
    <t>733004044946</t>
  </si>
  <si>
    <t>Jenni Womens Lace-Trim Thong Underw Multi Tiedye XXXL</t>
  </si>
  <si>
    <t>733004044892</t>
  </si>
  <si>
    <t>Jenni Womens Lace-Trim Thong Underw Multi Tiedye S</t>
  </si>
  <si>
    <t>733004947452</t>
  </si>
  <si>
    <t>Jenni Womens Lace-Trim Thong Underw Tossed Hearts XXXL</t>
  </si>
  <si>
    <t>733004044878</t>
  </si>
  <si>
    <t>Jenni Womens Lace-Trim Thong Underw Fuchsia Purple XXL</t>
  </si>
  <si>
    <t>733004044885</t>
  </si>
  <si>
    <t>Jenni Womens Lace-Trim Thong Underw Fuchsia Purple XXXL</t>
  </si>
  <si>
    <t>733003591212</t>
  </si>
  <si>
    <t>Jenni Womens Leopard Lace Thong Deep Black XXL</t>
  </si>
  <si>
    <t>733003591564</t>
  </si>
  <si>
    <t>Jenni Womens Leopard Lace Thong Emblem Gold L</t>
  </si>
  <si>
    <t>733004044762</t>
  </si>
  <si>
    <t>Jenni Womens Lace-Trim Thong Underw Chai XXXL</t>
  </si>
  <si>
    <t>733004044748</t>
  </si>
  <si>
    <t>Jenni Womens Lace-Trim Thong Underw Chai XL</t>
  </si>
  <si>
    <t>733002293179</t>
  </si>
  <si>
    <t>Jenni Womens Wide-Lace-Waist Thong Chai XXXL</t>
  </si>
  <si>
    <t>BRIGHTBLUE</t>
  </si>
  <si>
    <t>CHARTER CLUB-MMG</t>
  </si>
  <si>
    <t>733003401917</t>
  </si>
  <si>
    <t>Charter Club Womens Cotton Pointelle Bikin Classic Black XXL</t>
  </si>
  <si>
    <t>LT/PAS GRY</t>
  </si>
  <si>
    <t>733004815249</t>
  </si>
  <si>
    <t>Jenni Womens No-Show Thong Underwea Constellation XXXL</t>
  </si>
  <si>
    <t>733003403416</t>
  </si>
  <si>
    <t>Jenni Womens Whimsy Dot Bikini 1001 Snake XXXL</t>
  </si>
  <si>
    <t>733003403706</t>
  </si>
  <si>
    <t>Jenni Cotton Lace Trim Hipster Multi Plaid XXL</t>
  </si>
  <si>
    <t>733003403713</t>
  </si>
  <si>
    <t>Jenni Cotton Lace Trim Hipster Multi Plaid XXXL</t>
  </si>
  <si>
    <t>733003403652</t>
  </si>
  <si>
    <t>Jenni Womens Solid Thong 100110137 Pink Tiedye XXXL</t>
  </si>
  <si>
    <t>733003403638</t>
  </si>
  <si>
    <t>Jenni Womens Solid Thong 100110137 Pink Tiedye XL</t>
  </si>
  <si>
    <t>733002048380</t>
  </si>
  <si>
    <t>Jenni Womens Solid Bikini 100110131 Coral Punch M</t>
  </si>
  <si>
    <t>733003418748</t>
  </si>
  <si>
    <t>Charter Club Womens Lace-Trim Pretty Cotto Simple Flowers XXL</t>
  </si>
  <si>
    <t>733003418724</t>
  </si>
  <si>
    <t>Charter Club Womens Lace-Trim Pretty Cotto Simple Flowers L</t>
  </si>
  <si>
    <t>733003418731</t>
  </si>
  <si>
    <t>Charter Club Womens Lace-Trim Pretty Cotto Simple Flowers XL</t>
  </si>
  <si>
    <t>733003403591</t>
  </si>
  <si>
    <t>Jenni Womens Lace-Trim Thong Snake XXXL</t>
  </si>
  <si>
    <t>733003592417</t>
  </si>
  <si>
    <t>Jenni Womens Lace-Trim Thong Peachskin L</t>
  </si>
  <si>
    <t>733003592424</t>
  </si>
  <si>
    <t>Jenni Womens Lace-Trim Thong Peachskin XL</t>
  </si>
  <si>
    <t>733003592448</t>
  </si>
  <si>
    <t>Jenni Womens Lace-Trim Thong Peachskin XXXL</t>
  </si>
  <si>
    <t>733003860127</t>
  </si>
  <si>
    <t>Charter Club Womens Lace-Trim Pretty Cotto Chain Geo XXL</t>
  </si>
  <si>
    <t>733003860110</t>
  </si>
  <si>
    <t>Charter Club Womens Lace-Trim Pretty Cotto Chain Geo XL</t>
  </si>
  <si>
    <t>733003859879</t>
  </si>
  <si>
    <t>Charter Club Womens Lace-Trim Pretty Cotto Flower Geo XL</t>
  </si>
  <si>
    <t>733003860189</t>
  </si>
  <si>
    <t>Charter Club Womens Lace-Trim Pretty Cotto Paisley Flowers XL</t>
  </si>
  <si>
    <t>733003859794</t>
  </si>
  <si>
    <t>Charter Club Womens Lace-Trim Pretty Cotto Flower Geo S</t>
  </si>
  <si>
    <t>733003860196</t>
  </si>
  <si>
    <t>Charter Club Womens Lace-Trim Pretty Cotto Paisley Flowers XXL</t>
  </si>
  <si>
    <t>733003859886</t>
  </si>
  <si>
    <t>Charter Club Womens Lace-Trim Pretty Cotto Flower Geo XXL</t>
  </si>
  <si>
    <t>7701453841891</t>
  </si>
  <si>
    <t>Leonisa High-Waist Leggings 012901 Black L</t>
  </si>
  <si>
    <t>SHAPEWEAR</t>
  </si>
  <si>
    <t>LEONISA/GLOBAL INTIMATES LLC</t>
  </si>
  <si>
    <t>SPANX INC</t>
  </si>
  <si>
    <t>38 DD</t>
  </si>
  <si>
    <t>FLEXEES/HANESBRANDS INC</t>
  </si>
  <si>
    <t>CUPID FOUNDATIONS</t>
  </si>
  <si>
    <t>TRAD SLEEPWR</t>
  </si>
  <si>
    <t>E W L SLEEPWEAR/CHARLES KOMAR</t>
  </si>
  <si>
    <t>MISS ELAINE</t>
  </si>
  <si>
    <t>LN92129</t>
  </si>
  <si>
    <t>LAUREN/CAROLE HOCHMAN DESIGN INC</t>
  </si>
  <si>
    <t>MADE IN CAMBODIA</t>
  </si>
  <si>
    <t>55% COTTON/45% RAYON</t>
  </si>
  <si>
    <t>28266813943</t>
  </si>
  <si>
    <t>Miss Elaine Printed Nightgown Multi Floral M</t>
  </si>
  <si>
    <t>769137712254</t>
  </si>
  <si>
    <t>Cuddl Duds Printed Notch-Collar Pajama Se Heather Grey Novelty M</t>
  </si>
  <si>
    <t>CD8612861</t>
  </si>
  <si>
    <t>CUDDL DUDS SLEEPWEAR/CHARLES KOMAR</t>
  </si>
  <si>
    <t>CD8712856</t>
  </si>
  <si>
    <t>CD8612848</t>
  </si>
  <si>
    <t>RC00339</t>
  </si>
  <si>
    <t>MUNKI MUNKI/CREATIVE APPR CONCEPTS</t>
  </si>
  <si>
    <t>714147481645</t>
  </si>
  <si>
    <t>Briefly Stated Minnie Mouse Pajama Set Asst S</t>
  </si>
  <si>
    <t>MK475XLLMA</t>
  </si>
  <si>
    <t>ASSORTED</t>
  </si>
  <si>
    <t>BRIEFLY STATED INC</t>
  </si>
  <si>
    <t>24MOS</t>
  </si>
  <si>
    <t>18MOS</t>
  </si>
  <si>
    <t>733002498963</t>
  </si>
  <si>
    <t>Jenni Womens Solid Bikini 100110131 Stripe Grey XXL</t>
  </si>
  <si>
    <t>100131315MS</t>
  </si>
  <si>
    <t>733002042012</t>
  </si>
  <si>
    <t>Alfani Leggings Heather Charcoal S</t>
  </si>
  <si>
    <t>733002041831</t>
  </si>
  <si>
    <t>Alfani Tank Top Heather Charcoal XS</t>
  </si>
  <si>
    <t>733002041862</t>
  </si>
  <si>
    <t>Alfani Tank Top Heather Charcoal L</t>
  </si>
  <si>
    <t>733002041848</t>
  </si>
  <si>
    <t>Alfani Tank Top Heather Charcoal S</t>
  </si>
  <si>
    <t>733004756870</t>
  </si>
  <si>
    <t>Alfani Super Soft Modal Basic Jogger Garnet Stone XL</t>
  </si>
  <si>
    <t>100139734MS</t>
  </si>
  <si>
    <t>733004756887</t>
  </si>
  <si>
    <t>Alfani Super Soft Modal Basic Jogger Garnet Stone XXL</t>
  </si>
  <si>
    <t>733004756580</t>
  </si>
  <si>
    <t>Alfani Super Soft Modal Basic Jogger Classic Black M</t>
  </si>
  <si>
    <t>733004168413</t>
  </si>
  <si>
    <t>Alfani Lounge Wrap Classic Black S</t>
  </si>
  <si>
    <t>100129543MS</t>
  </si>
  <si>
    <t>733003577957</t>
  </si>
  <si>
    <t>Alfani Super Soft Jogger Pajama Pants Oatmeal Hthr XL</t>
  </si>
  <si>
    <t>100132733MS</t>
  </si>
  <si>
    <t>733003489342</t>
  </si>
  <si>
    <t>Alfani Hacci Lounge Hoodie Night Shadow XL</t>
  </si>
  <si>
    <t>100128351MS</t>
  </si>
  <si>
    <t>733003489359</t>
  </si>
  <si>
    <t>Alfani Hacci Lounge Hoodie Night Shadow XXL</t>
  </si>
  <si>
    <t>100126302MS</t>
  </si>
  <si>
    <t>733003012489</t>
  </si>
  <si>
    <t>Alfani Printed Knit Jogger Pajamas Pa Animal Heather XXL</t>
  </si>
  <si>
    <t>733003012472</t>
  </si>
  <si>
    <t>Alfani Printed Knit Jogger Pajamas Pa Animal Heather XL</t>
  </si>
  <si>
    <t>100121097MS</t>
  </si>
  <si>
    <t>733003831868</t>
  </si>
  <si>
    <t>Alfani Long-Sleeve Pocket Sleep T-Shi Night Shadow XL</t>
  </si>
  <si>
    <t>100116387MS</t>
  </si>
  <si>
    <t>40 B (B/C)</t>
  </si>
  <si>
    <t>617914664565</t>
  </si>
  <si>
    <t>Playtex Secrets Side Smoothing Embroid Warm Steel and Mother of Pearl 42DDD</t>
  </si>
  <si>
    <t>42 DDD</t>
  </si>
  <si>
    <t>POLYESTER/NYLON/SPANDEX</t>
  </si>
  <si>
    <t>40 DDD</t>
  </si>
  <si>
    <t>617914664558</t>
  </si>
  <si>
    <t>Playtex Secrets Side Smoothing Embroid Warm Steel and Mother of Pearl 40DDD</t>
  </si>
  <si>
    <t>NYLON/SPANDEX/POLYESTER</t>
  </si>
  <si>
    <t>14671845655</t>
  </si>
  <si>
    <t>Maidenform The One Fab Fit T-Back Lace Br White 40C</t>
  </si>
  <si>
    <t>733003970055</t>
  </si>
  <si>
    <t>Charter Club Ribbed Henley Pajama Top Chalky Rose XXL</t>
  </si>
  <si>
    <t>733003970031</t>
  </si>
  <si>
    <t>Charter Club Ribbed Henley Pajama Top Chalky Rose L</t>
  </si>
  <si>
    <t>733003969585</t>
  </si>
  <si>
    <t>Charter Club Ribbed Henley Pajama Top Teal Evergreen L</t>
  </si>
  <si>
    <t>733003969998</t>
  </si>
  <si>
    <t>Charter Club Ribbed Henley Pajama Top Candy Red XXL</t>
  </si>
  <si>
    <t>733003969554</t>
  </si>
  <si>
    <t>Charter Club Ribbed Henley Pajama Top Teal Evergreen XS</t>
  </si>
  <si>
    <t>733003970048</t>
  </si>
  <si>
    <t>Charter Club Ribbed Henley Pajama Top Chalky Rose XL</t>
  </si>
  <si>
    <t>733003970000</t>
  </si>
  <si>
    <t>Charter Club Ribbed Henley Pajama Top Chalky Rose XS</t>
  </si>
  <si>
    <t>733003969653</t>
  </si>
  <si>
    <t>Charter Club Ribbed Henley Pajama Top Medieval Blue XL</t>
  </si>
  <si>
    <t>733003969615</t>
  </si>
  <si>
    <t>Charter Club Ribbed Henley Pajama Top Medieval Blue XS</t>
  </si>
  <si>
    <t>733003969639</t>
  </si>
  <si>
    <t>Charter Club Ribbed Henley Pajama Top Medieval Blue M</t>
  </si>
  <si>
    <t>733003969561</t>
  </si>
  <si>
    <t>Charter Club Ribbed Henley Pajama Top Teal Evergreen S</t>
  </si>
  <si>
    <t>733003969592</t>
  </si>
  <si>
    <t>Charter Club Ribbed Henley Pajama Top Teal Evergreen XL</t>
  </si>
  <si>
    <t>733003969608</t>
  </si>
  <si>
    <t>Charter Club Ribbed Henley Pajama Top Teal Evergreen XXL</t>
  </si>
  <si>
    <t>733003969837</t>
  </si>
  <si>
    <t>Charter Club Ribbed Henley Pajama Top Medieval Blue XXL</t>
  </si>
  <si>
    <t>733003969974</t>
  </si>
  <si>
    <t>Charter Club Ribbed Henley Pajama Top Candy Red L</t>
  </si>
  <si>
    <t>733003969622</t>
  </si>
  <si>
    <t>Charter Club Ribbed Henley Pajama Top Medieval Blue S</t>
  </si>
  <si>
    <t>100127681MS</t>
  </si>
  <si>
    <t>733003871796</t>
  </si>
  <si>
    <t>Charter Club V-Neck T-Shirt Flannel Pants Polka Dots XXL</t>
  </si>
  <si>
    <t>100127684MS</t>
  </si>
  <si>
    <t>733003871604</t>
  </si>
  <si>
    <t>Charter Club V-Neck T-Shirt Flannel Pants Holly Bird XL</t>
  </si>
  <si>
    <t>100132451MS</t>
  </si>
  <si>
    <t>733003871611</t>
  </si>
  <si>
    <t>Charter Club V-Neck T-Shirt Flannel Pants Holly Bird XXL</t>
  </si>
  <si>
    <t>733003435714</t>
  </si>
  <si>
    <t>Charter Club Cotton Crochet-Trim Top Crop Multi Stripe XS</t>
  </si>
  <si>
    <t>100131331MS</t>
  </si>
  <si>
    <t>100131332MS</t>
  </si>
  <si>
    <t>733003969578</t>
  </si>
  <si>
    <t>Charter Club Ribbed Henley Pajama Top Teal Evergreen M</t>
  </si>
  <si>
    <t>100128032MS</t>
  </si>
  <si>
    <t>790812401408</t>
  </si>
  <si>
    <t>Calvin Klein Invisible Comfort Mesh Lift Ra Black XS</t>
  </si>
  <si>
    <t>QF6546</t>
  </si>
  <si>
    <t>790812597590</t>
  </si>
  <si>
    <t>Calvin Klein One Plus Size French Terry Sle Seashore Blue 2X</t>
  </si>
  <si>
    <t>QS6493</t>
  </si>
  <si>
    <t>COTTON/POLYESTER/LYCRAÂ® SPANDEX</t>
  </si>
  <si>
    <t>790812597606</t>
  </si>
  <si>
    <t>Calvin Klein One Plus Size French Terry Sle Seashore Blue 3X</t>
  </si>
  <si>
    <t>790812824900</t>
  </si>
  <si>
    <t>Calvin Klein Womens Perfectly Fit Flex Pop Bleached Denim S</t>
  </si>
  <si>
    <t>QF6638</t>
  </si>
  <si>
    <t>80% NYLON/20% ELASTANE</t>
  </si>
  <si>
    <t>QF6625</t>
  </si>
  <si>
    <t>QS6749</t>
  </si>
  <si>
    <t>F3837</t>
  </si>
  <si>
    <t>NYLON/ELASTANE; CUP LINING: POLYESTER/ELASTANE</t>
  </si>
  <si>
    <t>32 DD</t>
  </si>
  <si>
    <t>34 B (B/C)</t>
  </si>
  <si>
    <t>QF5753</t>
  </si>
  <si>
    <t>QF4783</t>
  </si>
  <si>
    <t>QF1184</t>
  </si>
  <si>
    <t>CUP AND WING; NYLON/ELASTANE; LINING: POLYESTER/ ELASTANE</t>
  </si>
  <si>
    <t>790812855928</t>
  </si>
  <si>
    <t>Calvin Klein Invisibles Lightly Lined Retro Rebellious S</t>
  </si>
  <si>
    <t>MADE IN VIETNAM</t>
  </si>
  <si>
    <t>94% VISCOSE/6% ELASTANE</t>
  </si>
  <si>
    <t>790812551387</t>
  </si>
  <si>
    <t>Calvin Klein Pure Lounge Sleep Shorts Grey Heather M</t>
  </si>
  <si>
    <t>790812551356</t>
  </si>
  <si>
    <t>Calvin Klein Pure Lounge Sleep Shorts Snow Heather XL</t>
  </si>
  <si>
    <t>F2781</t>
  </si>
  <si>
    <t>NYLON/LYCRA®/ELASTANE</t>
  </si>
  <si>
    <t>QF6438</t>
  </si>
  <si>
    <t>QF6680</t>
  </si>
  <si>
    <t>F3785</t>
  </si>
  <si>
    <t>LT/PAS BWN</t>
  </si>
  <si>
    <t>COTTON/MODAL/ELASTANE; BAND: COTTON/MODAL</t>
  </si>
  <si>
    <t>790812856376</t>
  </si>
  <si>
    <t>Calvin Klein Womens CK One Cotton Unlined Outline Star Print_black S</t>
  </si>
  <si>
    <t>790812857854</t>
  </si>
  <si>
    <t>Calvin Klein Womens CK One Unlined Rose-Pr Pale Orchid S</t>
  </si>
  <si>
    <t>790812872741</t>
  </si>
  <si>
    <t>Calvin Klein Womens Pure Ribbed Unlined Br Rebellious M</t>
  </si>
  <si>
    <t>790812857816</t>
  </si>
  <si>
    <t>Calvin Klein Womens CK One Unlined Rose-Pr Black M</t>
  </si>
  <si>
    <t>790812857809</t>
  </si>
  <si>
    <t>Calvin Klein Womens CK One Unlined Rose-Pr Black S</t>
  </si>
  <si>
    <t>SHELL AND LACE: NYLON/ELASTANE; LINING: COTTON</t>
  </si>
  <si>
    <t>QF6444</t>
  </si>
  <si>
    <t>QF6862</t>
  </si>
  <si>
    <t>QF6443</t>
  </si>
  <si>
    <t>QF6688</t>
  </si>
  <si>
    <t>LT/PAS RED</t>
  </si>
  <si>
    <t>11531319240</t>
  </si>
  <si>
    <t>Calvin Klein Invisibles Mesh-Trim Thong QD3 Black XS</t>
  </si>
  <si>
    <t>790812691731</t>
  </si>
  <si>
    <t>Calvin Klein Womens CK One Cotton Singles Snow Heather S</t>
  </si>
  <si>
    <t>QD3783</t>
  </si>
  <si>
    <t>BRIGHT PUR</t>
  </si>
  <si>
    <t>790812853450</t>
  </si>
  <si>
    <t>Calvin Klein CK Form Bikini QD3644 Sunday Leopard_berry Wild XL</t>
  </si>
  <si>
    <t>790812869703</t>
  </si>
  <si>
    <t>Calvin Klein Striped-Waist Thong QD3670 Fresh Pink XL</t>
  </si>
  <si>
    <t>34 DD</t>
  </si>
  <si>
    <t>NYLON/POLYMIDE/SPANDEX</t>
  </si>
  <si>
    <t>100121016MS</t>
  </si>
  <si>
    <t>100121015MS</t>
  </si>
  <si>
    <t>733002860531</t>
  </si>
  <si>
    <t>INC International Concepts Lace-Trim Cami Shorts Sleep Tie-dye S</t>
  </si>
  <si>
    <t>100097550MS</t>
  </si>
  <si>
    <t>733002803835</t>
  </si>
  <si>
    <t>INC International Concepts Lace-Bodice Chiffon Chemise Dutch Pink XS</t>
  </si>
  <si>
    <t>100046751MS</t>
  </si>
  <si>
    <t>POLYESTER, NYLON;SPANDEX</t>
  </si>
  <si>
    <t>100126455MS</t>
  </si>
  <si>
    <t>733004893575</t>
  </si>
  <si>
    <t>Jenni Fuzzy Knit Sleep Pants Withered Rose L</t>
  </si>
  <si>
    <t>100136984MS</t>
  </si>
  <si>
    <t>100136983MS</t>
  </si>
  <si>
    <t>733004893476</t>
  </si>
  <si>
    <t>Jenni Fuzzy Knit Sleep Crop Top Withered Rose XXL</t>
  </si>
  <si>
    <t>733002063949</t>
  </si>
  <si>
    <t>Jenni Solid Leggings Sailors Delight S</t>
  </si>
  <si>
    <t>733004105258</t>
  </si>
  <si>
    <t>Jenni Thermal Sleep Shirt Ltl Bit Naughty XS</t>
  </si>
  <si>
    <t>100131273MS</t>
  </si>
  <si>
    <t>733003862961</t>
  </si>
  <si>
    <t>Jenni Solid Long-Sleeve Pajama Top Deep Black S</t>
  </si>
  <si>
    <t>733004713583</t>
  </si>
  <si>
    <t>Jenni Ribbed Chemise Nightgown Calming Blue XXL</t>
  </si>
  <si>
    <t>100136970MS</t>
  </si>
  <si>
    <t>733003863234</t>
  </si>
  <si>
    <t>Jenni Solid Long-Sleeve Pajama Top Papaya Punch L</t>
  </si>
  <si>
    <t>733003863074</t>
  </si>
  <si>
    <t>Jenni Solid Long-Sleeve Pajama Top June Bug M</t>
  </si>
  <si>
    <t>733004713545</t>
  </si>
  <si>
    <t>Jenni Ribbed Chemise Nightgown Calming Blue S</t>
  </si>
  <si>
    <t>100133251MS</t>
  </si>
  <si>
    <t>733003869076</t>
  </si>
  <si>
    <t>Jenni Ribbed Sleep Tank Top Celestial S</t>
  </si>
  <si>
    <t>733003869090</t>
  </si>
  <si>
    <t>Jenni Ribbed Sleep Tank Top Celestial L</t>
  </si>
  <si>
    <t>733003869083</t>
  </si>
  <si>
    <t>Jenni Ribbed Sleep Tank Top Celestial M</t>
  </si>
  <si>
    <t>BLOOMING ANGEL INC</t>
  </si>
  <si>
    <t>192703034373</t>
  </si>
  <si>
    <t>Felina Felina Voyage Textured Sweater Black M</t>
  </si>
  <si>
    <t>194959406379</t>
  </si>
  <si>
    <t>Champion Long-Sleeve Top Jogger Pants Cargo Olive L</t>
  </si>
  <si>
    <t>RZ9IXP1</t>
  </si>
  <si>
    <t>RZ9IXHD</t>
  </si>
  <si>
    <t>MJC INTERNATIONAL GROUP</t>
  </si>
  <si>
    <t>EBJE215Z</t>
  </si>
  <si>
    <t>EAJE253M</t>
  </si>
  <si>
    <t>EBGE003M</t>
  </si>
  <si>
    <t>CSLRLB</t>
  </si>
  <si>
    <t>SENSUAL INC</t>
  </si>
  <si>
    <t>EBJN162Z</t>
  </si>
  <si>
    <t>733004015755</t>
  </si>
  <si>
    <t>INC International Concepts Solid Lace Cup Bodysuit Ballet Pink S</t>
  </si>
  <si>
    <t>733004816338</t>
  </si>
  <si>
    <t>INC International Concepts Womens Lace Plunge Bodysuit 1 Maraschino S</t>
  </si>
  <si>
    <t>733004015564</t>
  </si>
  <si>
    <t>INC International Concepts x Faux Snake Bodysuit M</t>
  </si>
  <si>
    <t>733004165788</t>
  </si>
  <si>
    <t>INC International Concepts Long-Sleeve Lace Mesh Bodysuit Foxglove XXL</t>
  </si>
  <si>
    <t>733004809958</t>
  </si>
  <si>
    <t>INC International Concepts Womens Lace Bralette Maraschino L</t>
  </si>
  <si>
    <t>733004809903</t>
  </si>
  <si>
    <t>INC International Concepts Womens Lace Bralette Dark Forest L</t>
  </si>
  <si>
    <t>733004809880</t>
  </si>
  <si>
    <t>INC International Concepts Womens Lace Bralette Dark Forest S</t>
  </si>
  <si>
    <t>733004809910</t>
  </si>
  <si>
    <t>INC International Concepts Womens Lace Bralette Dark Forest XL</t>
  </si>
  <si>
    <t>733003591014</t>
  </si>
  <si>
    <t>Jenni Womens Leopard Lace Hipster U Cali Pink XXXL</t>
  </si>
  <si>
    <t>733004885587</t>
  </si>
  <si>
    <t>Jenni Womens Leopard Lace Thong Junebug XL</t>
  </si>
  <si>
    <t>733004885785</t>
  </si>
  <si>
    <t>Jenni Womens Leopard Lace Thong Plum Wine L</t>
  </si>
  <si>
    <t>733004885709</t>
  </si>
  <si>
    <t>Jenni Womens Leopard Lace Thong Navy Sail XXXL</t>
  </si>
  <si>
    <t>733004885570</t>
  </si>
  <si>
    <t>Jenni Womens Leopard Lace Thong Junebug L</t>
  </si>
  <si>
    <t>733004044984</t>
  </si>
  <si>
    <t>Jenni Womens Lace-Trim Thong Underw Snake XL</t>
  </si>
  <si>
    <t>733004045974</t>
  </si>
  <si>
    <t>Jenni Womens Lace-Trim Thong Underw Animal XXXL</t>
  </si>
  <si>
    <t>733004045912</t>
  </si>
  <si>
    <t>Jenni Womens Lace-Trim Thong Underw Snake XXXL</t>
  </si>
  <si>
    <t>733004045943</t>
  </si>
  <si>
    <t>Jenni Womens Lace-Trim Thong Underw Animal L</t>
  </si>
  <si>
    <t>733004947421</t>
  </si>
  <si>
    <t>Jenni Womens Lace-Trim Thong Underw Tossed Hearts L</t>
  </si>
  <si>
    <t>733004044823</t>
  </si>
  <si>
    <t>Jenni Womens Lace-Trim Thong Underw Pure Purple XXXL</t>
  </si>
  <si>
    <t>733003591205</t>
  </si>
  <si>
    <t>Jenni Womens Leopard Lace Thong Deep Black XL</t>
  </si>
  <si>
    <t>733003591229</t>
  </si>
  <si>
    <t>Jenni Womens Leopard Lace Thong Deep Black XXXL</t>
  </si>
  <si>
    <t>733003591526</t>
  </si>
  <si>
    <t>Jenni Womens Leopard Lace Thong Cali Pink XXL</t>
  </si>
  <si>
    <t>733003591519</t>
  </si>
  <si>
    <t>Jenni Womens Leopard Lace Thong Cali Pink XL</t>
  </si>
  <si>
    <t>733003591472</t>
  </si>
  <si>
    <t>Jenni Womens Leopard Lace Thong Celestial XXXL</t>
  </si>
  <si>
    <t>733003591502</t>
  </si>
  <si>
    <t>Jenni Womens Leopard Lace Thong Cali Pink L</t>
  </si>
  <si>
    <t>733004814839</t>
  </si>
  <si>
    <t>Jenni Womens No-Show Bikini Underwe Constellation L</t>
  </si>
  <si>
    <t>733004815225</t>
  </si>
  <si>
    <t>Jenni Womens No-Show Thong Underwea Constellation XL</t>
  </si>
  <si>
    <t>733004815232</t>
  </si>
  <si>
    <t>Jenni Womens No-Show Thong Underwea Constellation XXL</t>
  </si>
  <si>
    <t>733004815218</t>
  </si>
  <si>
    <t>Jenni Womens No-Show Thong Underwea Constellation L</t>
  </si>
  <si>
    <t>733003403423</t>
  </si>
  <si>
    <t>Jenni Womens Whimsy Dot Bikini 1001 Star S</t>
  </si>
  <si>
    <t>733003403478</t>
  </si>
  <si>
    <t>Jenni Womens Whimsy Dot Bikini 1001 Star XXXL</t>
  </si>
  <si>
    <t>733003403621</t>
  </si>
  <si>
    <t>Jenni Womens Solid Thong 100110137 Pink Tiedye L</t>
  </si>
  <si>
    <t>733003418717</t>
  </si>
  <si>
    <t>Charter Club Womens Lace-Trim Pretty Cotto Simple Flowers M</t>
  </si>
  <si>
    <t>733004671746</t>
  </si>
  <si>
    <t>Jenni Womens Lace-Trim Thong Green Leopard L</t>
  </si>
  <si>
    <t>733004671777</t>
  </si>
  <si>
    <t>Jenni Womens Lace-Trim Thong Green Leopard XXXL</t>
  </si>
  <si>
    <t>733004671760</t>
  </si>
  <si>
    <t>Jenni Womens Lace-Trim Thong Green Leopard XXL</t>
  </si>
  <si>
    <t>733004671739</t>
  </si>
  <si>
    <t>Jenni Womens Lace-Trim Thong Green Leopard M</t>
  </si>
  <si>
    <t>733004671722</t>
  </si>
  <si>
    <t>Jenni Womens Lace-Trim Thong Green Leopard S</t>
  </si>
  <si>
    <t>733003403560</t>
  </si>
  <si>
    <t>Jenni Womens Lace-Trim Thong Snake L</t>
  </si>
  <si>
    <t>733003403546</t>
  </si>
  <si>
    <t>Jenni Womens Lace-Trim Thong Snake S</t>
  </si>
  <si>
    <t>733003403584</t>
  </si>
  <si>
    <t>Jenni Womens Lace-Trim Thong Snake XXL</t>
  </si>
  <si>
    <t>733003592431</t>
  </si>
  <si>
    <t>Jenni Womens Lace-Trim Thong Peachskin XXL</t>
  </si>
  <si>
    <t>733003592400</t>
  </si>
  <si>
    <t>Jenni Womens Lace-Trim Thong Peachskin M</t>
  </si>
  <si>
    <t>733003403126</t>
  </si>
  <si>
    <t>Jenni Womens Lace-Trim Thong Cali Pink XL</t>
  </si>
  <si>
    <t>733003403119</t>
  </si>
  <si>
    <t>Jenni Womens Lace-Trim Thong Cali Pink L</t>
  </si>
  <si>
    <t>733003403089</t>
  </si>
  <si>
    <t>Jenni Womens Lace-Trim Thong Cali Pink S</t>
  </si>
  <si>
    <t>733003403140</t>
  </si>
  <si>
    <t>Jenni Womens Lace-Trim Thong Cali Pink XXXL</t>
  </si>
  <si>
    <t>733003403133</t>
  </si>
  <si>
    <t>Jenni Womens Lace-Trim Thong Cali Pink XXL</t>
  </si>
  <si>
    <t>733003860134</t>
  </si>
  <si>
    <t>Charter Club Womens Lace-Trim Pretty Cotto Paisley Flowers S</t>
  </si>
  <si>
    <t>733003859862</t>
  </si>
  <si>
    <t>Charter Club Womens Lace-Trim Pretty Cotto Flower Geo L</t>
  </si>
  <si>
    <t>733003860042</t>
  </si>
  <si>
    <t>Charter Club Womens Lace-Trim Pretty Cotto Tapestry Floral XXL</t>
  </si>
  <si>
    <t>733003860141</t>
  </si>
  <si>
    <t>Charter Club Womens Lace-Trim Pretty Cotto Paisley Flowers M</t>
  </si>
  <si>
    <t>28266825854</t>
  </si>
  <si>
    <t>Miss Elaine Geo-Embossed Pajama Set Wine M</t>
  </si>
  <si>
    <t>406361M</t>
  </si>
  <si>
    <t>192910259804</t>
  </si>
  <si>
    <t>Munki Munki Snoopy Pajama Set Grey S</t>
  </si>
  <si>
    <t>NM00932</t>
  </si>
  <si>
    <t>JOCKEY INTERNATIONAL</t>
  </si>
  <si>
    <t>100% COTTON</t>
  </si>
  <si>
    <t>Sleek Smoothers HW Short</t>
  </si>
  <si>
    <t>DM2561</t>
  </si>
  <si>
    <t>BLM</t>
  </si>
  <si>
    <t>733003826635</t>
  </si>
  <si>
    <t>Alfani Ribbed Pajama Set Port Royale L</t>
  </si>
  <si>
    <t>100131314MS</t>
  </si>
  <si>
    <t>733002042050</t>
  </si>
  <si>
    <t>Alfani Leggings Heather Charcoal XXL</t>
  </si>
  <si>
    <t>733002041992</t>
  </si>
  <si>
    <t>Alfani Leggings Classic Black XXL</t>
  </si>
  <si>
    <t>100121029MS</t>
  </si>
  <si>
    <t>733002041886</t>
  </si>
  <si>
    <t>Alfani Tank Top Heather Charcoal XXL</t>
  </si>
  <si>
    <t>733004168406</t>
  </si>
  <si>
    <t>Alfani Lounge Wrap Classic Black XS</t>
  </si>
  <si>
    <t>733004168574</t>
  </si>
  <si>
    <t>Alfani Lounge Wrap Hy Charcoal Htr XXL</t>
  </si>
  <si>
    <t>100131301MS</t>
  </si>
  <si>
    <t>733004249983</t>
  </si>
  <si>
    <t>Alfani Soft Long-Sleeve Sleep Top Gray Rose S</t>
  </si>
  <si>
    <t>733004250798</t>
  </si>
  <si>
    <t>Alfani Soft Long-Sleeve Sleep Top Gray Rose XXL</t>
  </si>
  <si>
    <t>733004250781</t>
  </si>
  <si>
    <t>Alfani Soft Long-Sleeve Sleep Top Gray Rose XL</t>
  </si>
  <si>
    <t>733004250774</t>
  </si>
  <si>
    <t>Alfani Soft Long-Sleeve Sleep Top Gray Rose L</t>
  </si>
  <si>
    <t>733004095313</t>
  </si>
  <si>
    <t>Alfani Leggings Night Shadow S</t>
  </si>
  <si>
    <t>733004096976</t>
  </si>
  <si>
    <t>Alfani Long T-Shirt Nightgown Hy Grey Hthr XS</t>
  </si>
  <si>
    <t>100132720MS</t>
  </si>
  <si>
    <t>100096739MS</t>
  </si>
  <si>
    <t>100126300MS</t>
  </si>
  <si>
    <t>733003012236</t>
  </si>
  <si>
    <t>Alfani Printed Knit Jogger Pajamas Pa Blue Geo XXL</t>
  </si>
  <si>
    <t>100121096MS</t>
  </si>
  <si>
    <t>733003831875</t>
  </si>
  <si>
    <t>Alfani Long-Sleeve Pocket Sleep T-Shi Night Shadow XXL</t>
  </si>
  <si>
    <t>100126649MS</t>
  </si>
  <si>
    <t>NYLON/SPANDEX; BACK: POLYESTER/SPANDEX</t>
  </si>
  <si>
    <t>83626025725</t>
  </si>
  <si>
    <t>Vanity Fair Full-Figure Wireless Sports Br Damask Neutral Nude 5 42D</t>
  </si>
  <si>
    <t>733003968441</t>
  </si>
  <si>
    <t>Charter Club Thermal Fleece Printed Pajamas Dotted Snowflak XL</t>
  </si>
  <si>
    <t>100128051MS</t>
  </si>
  <si>
    <t>732997125038</t>
  </si>
  <si>
    <t>Charter Club Printed Cotton Pajamas Set Tonal Plaid M</t>
  </si>
  <si>
    <t>733003970017</t>
  </si>
  <si>
    <t>Charter Club Ribbed Henley Pajama Top Chalky Rose S</t>
  </si>
  <si>
    <t>733003871574</t>
  </si>
  <si>
    <t>Charter Club V-Neck T-Shirt Flannel Pants Holly Bird S</t>
  </si>
  <si>
    <t>733001202707</t>
  </si>
  <si>
    <t>Charter Club Cotton Brushed Knit Printed Ni Cardinal XS</t>
  </si>
  <si>
    <t>100132010MS</t>
  </si>
  <si>
    <t>100132012MS</t>
  </si>
  <si>
    <t>100131330MS</t>
  </si>
  <si>
    <t>733003969967</t>
  </si>
  <si>
    <t>Charter Club Ribbed Henley Pajama Top Candy Red M</t>
  </si>
  <si>
    <t>100131395MS</t>
  </si>
  <si>
    <t>100121044MS</t>
  </si>
  <si>
    <t>QS6683</t>
  </si>
  <si>
    <t>608279189510</t>
  </si>
  <si>
    <t>Calvin Klein Invisibles T-Shirt Bra QF1184 Black 38D</t>
  </si>
  <si>
    <t>QF4708</t>
  </si>
  <si>
    <t>11531148208</t>
  </si>
  <si>
    <t>Calvin Klein Invisibles Thong D3428 Bronzed Nude 3 L</t>
  </si>
  <si>
    <t>790812594728</t>
  </si>
  <si>
    <t>Calvin Klein Womens CK One Size High-Waist Sleek Silver ONE SIZE</t>
  </si>
  <si>
    <t>CL-WARMWEAR</t>
  </si>
  <si>
    <t>HANKY PANKY LTD</t>
  </si>
  <si>
    <t>MADE IN USA</t>
  </si>
  <si>
    <t>HANRO USA INC</t>
  </si>
  <si>
    <t>TURQ/AQUA</t>
  </si>
  <si>
    <t>DELICE DEMI CUP BRA</t>
  </si>
  <si>
    <t>12X330</t>
  </si>
  <si>
    <t>SIMONE PERELE</t>
  </si>
  <si>
    <t>MADE IN DOMINICAN REPUBLIC</t>
  </si>
  <si>
    <t>89129265460</t>
  </si>
  <si>
    <t>MESH HIP G</t>
  </si>
  <si>
    <t>ON GOSSAMER/KOMAR INTIMATES LLC</t>
  </si>
  <si>
    <t>89129265477</t>
  </si>
  <si>
    <t>M/L</t>
  </si>
  <si>
    <t>T90525</t>
  </si>
  <si>
    <t>714370572028</t>
  </si>
  <si>
    <t>Flora by Flora Nikrooz Audrey Solid T-Shirt Printed Dark Pink S</t>
  </si>
  <si>
    <t>714370572035</t>
  </si>
  <si>
    <t>Flora by Flora Nikrooz Audrey Solid T-Shirt Printed Dark Pink M</t>
  </si>
  <si>
    <t>T90527</t>
  </si>
  <si>
    <t>Q81215</t>
  </si>
  <si>
    <t>714370574374</t>
  </si>
  <si>
    <t>Flora by Flora Nikrooz Jade Sleep T-Shirt Grey S</t>
  </si>
  <si>
    <t>714370094957</t>
  </si>
  <si>
    <t>Flora by Flora Nikrooz Stella Charmeuse Venise Trim G Black L</t>
  </si>
  <si>
    <t>T80235</t>
  </si>
  <si>
    <t>POLYESTER</t>
  </si>
  <si>
    <t>761321054850</t>
  </si>
  <si>
    <t>Linea Donatella Bride-Embroidered Boyfriend Sh WhitePink XL</t>
  </si>
  <si>
    <t>BDE046</t>
  </si>
  <si>
    <t>BTY110</t>
  </si>
  <si>
    <t>FLORA NIKROOZ/ESSENTIAL BRANDS INC</t>
  </si>
  <si>
    <t>TOP: COTTON/POLYESTER; PANTS: 100% COTTON</t>
  </si>
  <si>
    <t>732997107089</t>
  </si>
  <si>
    <t>Family Pajamas Knit Mix It Pajamas Set Stewart Plaid S</t>
  </si>
  <si>
    <t>732997107102</t>
  </si>
  <si>
    <t>Family Pajamas Knit Mix It Pajamas Set Stewart Plaid M</t>
  </si>
  <si>
    <t>FAMILY PJS-EDI/RASHTI &amp; RASHTI</t>
  </si>
  <si>
    <t>733002042999</t>
  </si>
  <si>
    <t>Jenni Solid Leggings Deep Black M</t>
  </si>
  <si>
    <t>100116874MS</t>
  </si>
  <si>
    <t>100131284MS</t>
  </si>
  <si>
    <t>100131289MS</t>
  </si>
  <si>
    <t>733004893636</t>
  </si>
  <si>
    <t>Jenni Super-Soft Long-Sleeve Sleep T Washed White L</t>
  </si>
  <si>
    <t>733002668403</t>
  </si>
  <si>
    <t>Jenni Cotton French Terry Sleep Top Tiedye Stripe L</t>
  </si>
  <si>
    <t>100121079MS</t>
  </si>
  <si>
    <t>733002668380</t>
  </si>
  <si>
    <t>Jenni Cotton French Terry Sleep Top Tiedye Stripe S</t>
  </si>
  <si>
    <t>733002668397</t>
  </si>
  <si>
    <t>Jenni Cotton French Terry Sleep Top Tiedye Stripe M</t>
  </si>
  <si>
    <t>733002668557</t>
  </si>
  <si>
    <t>Jenni Cotton French Terry Sleep Top Tiedye Swirl M</t>
  </si>
  <si>
    <t>100121081MS</t>
  </si>
  <si>
    <t>733002668441</t>
  </si>
  <si>
    <t>Jenni Cotton French Terry Sleep Top Marina S</t>
  </si>
  <si>
    <t>100121080MS</t>
  </si>
  <si>
    <t>733004861178</t>
  </si>
  <si>
    <t>Jenni Solid Ribbed Tank Top Mauve M</t>
  </si>
  <si>
    <t>100131277MS</t>
  </si>
  <si>
    <t>733004713743</t>
  </si>
  <si>
    <t>Jenni Ribbed Chemise Nightgown Pastel Tie Dye L</t>
  </si>
  <si>
    <t>733004713552</t>
  </si>
  <si>
    <t>Jenni Ribbed Chemise Nightgown Calming Blue M</t>
  </si>
  <si>
    <t>733003863111</t>
  </si>
  <si>
    <t>Jenni Solid Long-Sleeve Pajama Top Navy Sail S</t>
  </si>
  <si>
    <t>Y2822487</t>
  </si>
  <si>
    <t>889945246717</t>
  </si>
  <si>
    <t>Honeydew Honeydew Womens Oversized T-s Night Mist S</t>
  </si>
  <si>
    <t>TOP: 50% COTTON/50% MODAL; SHORTS: 95% RAYON/5% SPANDEX</t>
  </si>
  <si>
    <t>769137465662</t>
  </si>
  <si>
    <t>LPJ L/S</t>
  </si>
  <si>
    <t>LN92110</t>
  </si>
  <si>
    <t>671478824636</t>
  </si>
  <si>
    <t>Insomniax Long Sleeve Pajama Top Blush XL</t>
  </si>
  <si>
    <t>RZ9IXL1</t>
  </si>
  <si>
    <t>2838T</t>
  </si>
  <si>
    <t>192703060396</t>
  </si>
  <si>
    <t>Felina Taylor Jogger Pajama Pants Gray L</t>
  </si>
  <si>
    <t>192703040657</t>
  </si>
  <si>
    <t>Felina Felina Womens Super Soft Brus Light Blue M</t>
  </si>
  <si>
    <t>192703060594</t>
  </si>
  <si>
    <t>Felina Taylor Jogger Pajama Pants Light Gray L</t>
  </si>
  <si>
    <t>888172772457</t>
  </si>
  <si>
    <t>Hue Dot-Print Classic Pajama Pants Black Dot S</t>
  </si>
  <si>
    <t>EBJE225M</t>
  </si>
  <si>
    <t>26718834812</t>
  </si>
  <si>
    <t>Roudelain Printed Button Top Shorts Pa Hearts Animal Tradewinds M</t>
  </si>
  <si>
    <t>EBJE309Z</t>
  </si>
  <si>
    <t>26718817433</t>
  </si>
  <si>
    <t>Jaclyn Intimates Yummy Jogger Pajama Pants Black Print L</t>
  </si>
  <si>
    <t>EBJN189Z</t>
  </si>
  <si>
    <t>26718817679</t>
  </si>
  <si>
    <t>Jaclyn Intimates Yummy Jogger Pajama Pants Vintage Indigo L</t>
  </si>
  <si>
    <t>26718798121</t>
  </si>
  <si>
    <t>Jaclyn Intimates Yummy Jogger Pajama Pants Black Print M</t>
  </si>
  <si>
    <t>EBJN065Z</t>
  </si>
  <si>
    <t>EBJN163Z</t>
  </si>
  <si>
    <t>733003405885</t>
  </si>
  <si>
    <t>INC International Concepts Womens Lace Thong Underwear Zen Blue XXL</t>
  </si>
  <si>
    <t>INC International Concepts Womens Lace Thong Underwear Foxy Pink XXL</t>
  </si>
  <si>
    <t>733004885778</t>
  </si>
  <si>
    <t>Jenni Womens Leopard Lace Thong Plum Wine M</t>
  </si>
  <si>
    <t>733004885624</t>
  </si>
  <si>
    <t>Jenni Womens Leopard Lace Thong Navy Sail M</t>
  </si>
  <si>
    <t>733004885808</t>
  </si>
  <si>
    <t>Jenni Womens Leopard Lace Thong Plum Wine XXL</t>
  </si>
  <si>
    <t>733004885600</t>
  </si>
  <si>
    <t>Jenni Womens Leopard Lace Thong Junebug XXXL</t>
  </si>
  <si>
    <t>733004044977</t>
  </si>
  <si>
    <t>Jenni Womens Lace-Trim Thong Underw Snake L</t>
  </si>
  <si>
    <t>733004947445</t>
  </si>
  <si>
    <t>Jenni Womens Lace-Trim Thong Underw Tossed Hearts XXL</t>
  </si>
  <si>
    <t>733004947438</t>
  </si>
  <si>
    <t>Jenni Womens Lace-Trim Thong Underw Tossed Hearts XL</t>
  </si>
  <si>
    <t>733003591595</t>
  </si>
  <si>
    <t>Jenni Womens Leopard Lace Thong Emblem Gold XXXL</t>
  </si>
  <si>
    <t>733003591571</t>
  </si>
  <si>
    <t>Jenni Womens Leopard Lace Thong Emblem Gold XL</t>
  </si>
  <si>
    <t>733003591441</t>
  </si>
  <si>
    <t>Jenni Womens Leopard Lace Thong Celestial L</t>
  </si>
  <si>
    <t>733003591465</t>
  </si>
  <si>
    <t>Jenni Womens Leopard Lace Thong Celestial XXL</t>
  </si>
  <si>
    <t>733003591458</t>
  </si>
  <si>
    <t>Jenni Womens Leopard Lace Thong Celestial XL</t>
  </si>
  <si>
    <t>733003591427</t>
  </si>
  <si>
    <t>Jenni Womens Leopard Lace Thong Celestial S</t>
  </si>
  <si>
    <t>733004044854</t>
  </si>
  <si>
    <t>Jenni Womens Lace-Trim Thong Underw Fuchsia Purple L</t>
  </si>
  <si>
    <t>733003591434</t>
  </si>
  <si>
    <t>Jenni Womens Leopard Lace Thong Celestial M</t>
  </si>
  <si>
    <t>733003403355</t>
  </si>
  <si>
    <t>Jenni Cotton Lace Trim Hipster PinkBlack Tiedye XXXL</t>
  </si>
  <si>
    <t>733004815201</t>
  </si>
  <si>
    <t>Jenni Womens No-Show Thong Underwea Constellation M</t>
  </si>
  <si>
    <t>733004815195</t>
  </si>
  <si>
    <t>Jenni Womens No-Show Thong Underwea Constellation S</t>
  </si>
  <si>
    <t>733003403775</t>
  </si>
  <si>
    <t>Jenni Womens Whimsy Dot Bikini 1001 Purple XXXL</t>
  </si>
  <si>
    <t>733003418700</t>
  </si>
  <si>
    <t>Charter Club Womens Lace-Trim Pretty Cotto Simple Flowers S</t>
  </si>
  <si>
    <t>733001628507</t>
  </si>
  <si>
    <t>Jenni Womens Lace-Trim Thong Tonal Leo XXL</t>
  </si>
  <si>
    <t>733004671753</t>
  </si>
  <si>
    <t>Jenni Womens Lace-Trim Thong Green Leopard XL</t>
  </si>
  <si>
    <t>733003403102</t>
  </si>
  <si>
    <t>Jenni Womens Lace-Trim Thong Cali Pink M</t>
  </si>
  <si>
    <t>733003860073</t>
  </si>
  <si>
    <t>Charter Club Womens Lace-Trim Pretty Cotto Chain Geo L</t>
  </si>
  <si>
    <t>733003860004</t>
  </si>
  <si>
    <t>Charter Club Womens Lace-Trim Pretty Cotto Tapestry Floral S</t>
  </si>
  <si>
    <t>733003859800</t>
  </si>
  <si>
    <t>Charter Club Womens Lace-Trim Pretty Cotto Flower Geo M</t>
  </si>
  <si>
    <t>7701453841914</t>
  </si>
  <si>
    <t>Leonisa High-Waist Leggings 012901 Black XL</t>
  </si>
  <si>
    <t>38 C</t>
  </si>
  <si>
    <t>NYLON/ELASTANE/SPANDEX</t>
  </si>
  <si>
    <t>E5320162</t>
  </si>
  <si>
    <t>NM00931</t>
  </si>
  <si>
    <t>SPLENDID/DELTA GALIL USA INC</t>
  </si>
  <si>
    <t>RICHARD LEEDS INTERNATIONAL INC</t>
  </si>
  <si>
    <t>100131312MS</t>
  </si>
  <si>
    <t>733003826659</t>
  </si>
  <si>
    <t>Alfani Ribbed Pajama Set Port Royale XXL</t>
  </si>
  <si>
    <t>733002042043</t>
  </si>
  <si>
    <t>Alfani Leggings Heather Charcoal XL</t>
  </si>
  <si>
    <t>733004756900</t>
  </si>
  <si>
    <t>Alfani Super Soft Modal Basic Jogger Hy Charcoal S</t>
  </si>
  <si>
    <t>100139735MS</t>
  </si>
  <si>
    <t>733004756931</t>
  </si>
  <si>
    <t>Alfani Super Soft Modal Basic Jogger Hy Charcoal XL</t>
  </si>
  <si>
    <t>733002041671</t>
  </si>
  <si>
    <t>Alfani Tank Top Classic Black M</t>
  </si>
  <si>
    <t>733004756801</t>
  </si>
  <si>
    <t>Alfani Super Soft Modal Basic Jogger Classic Black L</t>
  </si>
  <si>
    <t>733004756863</t>
  </si>
  <si>
    <t>Alfani Super Soft Modal Basic Jogger Garnet Stone L</t>
  </si>
  <si>
    <t>733004168536</t>
  </si>
  <si>
    <t>Alfani Lounge Wrap Hy Charcoal Htr S</t>
  </si>
  <si>
    <t>733004095337</t>
  </si>
  <si>
    <t>Alfani Leggings Night Shadow L</t>
  </si>
  <si>
    <t>733004096990</t>
  </si>
  <si>
    <t>Alfani Long T-Shirt Nightgown Hy Grey Hthr M</t>
  </si>
  <si>
    <t>733003577940</t>
  </si>
  <si>
    <t>Alfani Super Soft Jogger Pajama Pants Oatmeal Hthr L</t>
  </si>
  <si>
    <t>733003577964</t>
  </si>
  <si>
    <t>Alfani Super Soft Jogger Pajama Pants Oatmeal Hthr XXL</t>
  </si>
  <si>
    <t>733003832131</t>
  </si>
  <si>
    <t>Alfani Essential Jogger Pajama Pants Animal Dot L</t>
  </si>
  <si>
    <t>100126301MS</t>
  </si>
  <si>
    <t>733003012403</t>
  </si>
  <si>
    <t>Alfani Printed Knit Jogger Pajamas Pa Teal Flroal L</t>
  </si>
  <si>
    <t>733003968328</t>
  </si>
  <si>
    <t>Charter Club Thermal Fleece Printed Pajamas Tonal Leopard XL</t>
  </si>
  <si>
    <t>100128049MS</t>
  </si>
  <si>
    <t>100121026MS</t>
  </si>
  <si>
    <t>100127682MS</t>
  </si>
  <si>
    <t>733003872380</t>
  </si>
  <si>
    <t>Charter Club Cotton Plaid Flannel Nightshir Holiday Plaid XS</t>
  </si>
  <si>
    <t>100127680MS</t>
  </si>
  <si>
    <t>100127887MS</t>
  </si>
  <si>
    <t>733004108839</t>
  </si>
  <si>
    <t>Charter Club Soft Knit Sleep Shirt Tonal Leopard XS</t>
  </si>
  <si>
    <t>100128037MS</t>
  </si>
  <si>
    <t>790812597583</t>
  </si>
  <si>
    <t>Calvin Klein One Plus Size French Terry Sle Seashore Blue 1X</t>
  </si>
  <si>
    <t>32 C</t>
  </si>
  <si>
    <t>11531894488</t>
  </si>
  <si>
    <t>Calvin Klein Womens Plus Size Invisibles C Black 3X</t>
  </si>
  <si>
    <t>QS6750</t>
  </si>
  <si>
    <t>11531148185</t>
  </si>
  <si>
    <t>Calvin Klein Invisibles Thong D3428 Bronzed Nude 3 S</t>
  </si>
  <si>
    <t>790812851722</t>
  </si>
  <si>
    <t>Calvin Klein Invisibles Thong D3428 Rebellious L</t>
  </si>
  <si>
    <t>714370572622</t>
  </si>
  <si>
    <t>Flora by Flora Nikrooz Leslie Printed Velour Pajama S Cream S</t>
  </si>
  <si>
    <t>714370572639</t>
  </si>
  <si>
    <t>Flora by Flora Nikrooz Leslie Printed Velour Pajama S Cream M</t>
  </si>
  <si>
    <t>714370572646</t>
  </si>
  <si>
    <t>Flora by Flora Nikrooz Leslie Printed Velour Pajama S Cream L</t>
  </si>
  <si>
    <t>714370572561</t>
  </si>
  <si>
    <t>Flora by Flora Nikrooz Leslie Printed Velour Pajama S Green L</t>
  </si>
  <si>
    <t>THS035</t>
  </si>
  <si>
    <t>714370575425</t>
  </si>
  <si>
    <t>Flora by Flora Nikrooz Jenna Printed Sweater-Knit Paj Green S</t>
  </si>
  <si>
    <t>714370575456</t>
  </si>
  <si>
    <t>Flora by Flora Nikrooz Jenna Printed Sweater-Knit Paj Green XL</t>
  </si>
  <si>
    <t>714370571670</t>
  </si>
  <si>
    <t>Flora by Flora Nikrooz Tammy Notch Collar Top Pants Black M</t>
  </si>
  <si>
    <t>T90531</t>
  </si>
  <si>
    <t>T90532</t>
  </si>
  <si>
    <t>CIT140</t>
  </si>
  <si>
    <t>761321689373</t>
  </si>
  <si>
    <t>Linea Donatella Floral Batik Printed Chemise N Black S</t>
  </si>
  <si>
    <t>761321692380</t>
  </si>
  <si>
    <t>Linea Donatella Tie-Dyed Chemise Nightgown Turquoise Orchid XL</t>
  </si>
  <si>
    <t>761321692359</t>
  </si>
  <si>
    <t>Linea Donatella Tie-Dyed Chemise Nightgown Turquoise Orchid S</t>
  </si>
  <si>
    <t>733002324941</t>
  </si>
  <si>
    <t>INC International Concepts Printed Knit Pajama Shorts Set Snake Skin XXL</t>
  </si>
  <si>
    <t>100117209MS</t>
  </si>
  <si>
    <t>733002043316</t>
  </si>
  <si>
    <t>Jenni Sweatshirt Sailors Delight XL</t>
  </si>
  <si>
    <t>100116882MS</t>
  </si>
  <si>
    <t>100155777MS</t>
  </si>
  <si>
    <t>733002043026</t>
  </si>
  <si>
    <t>Jenni Solid Leggings Leopard XS</t>
  </si>
  <si>
    <t>100116875MS</t>
  </si>
  <si>
    <t>733002042982</t>
  </si>
  <si>
    <t>Jenni Solid Leggings Deep Black S</t>
  </si>
  <si>
    <t>733004894541</t>
  </si>
  <si>
    <t>Jenni Sleep Jogger Pants Marble - Rose S</t>
  </si>
  <si>
    <t>100139853MS</t>
  </si>
  <si>
    <t>733004894558</t>
  </si>
  <si>
    <t>Jenni Sleep Jogger Pants Marble - Rose M</t>
  </si>
  <si>
    <t>100129797MS</t>
  </si>
  <si>
    <t>733004893759</t>
  </si>
  <si>
    <t>Jenni Super-Soft Long-Sleeve Sleep T Withered Rose L</t>
  </si>
  <si>
    <t>733004893643</t>
  </si>
  <si>
    <t>Jenni Super-Soft Long-Sleeve Sleep T Washed White XL</t>
  </si>
  <si>
    <t>733003869380</t>
  </si>
  <si>
    <t>Jenni HOODED PJ TOP Sunny Lime L</t>
  </si>
  <si>
    <t>100137460MS</t>
  </si>
  <si>
    <t>733003869366</t>
  </si>
  <si>
    <t>Jenni HOODED PJ TOP Sunny Lime S</t>
  </si>
  <si>
    <t>733003869373</t>
  </si>
  <si>
    <t>Jenni HOODED PJ TOP Sunny Lime M</t>
  </si>
  <si>
    <t>733004105883</t>
  </si>
  <si>
    <t>Jenni Packaged Pajama Set Constellation S</t>
  </si>
  <si>
    <t>733003868864</t>
  </si>
  <si>
    <t>Jenni Pajama Tunic Top Leopard S</t>
  </si>
  <si>
    <t>100131291MS</t>
  </si>
  <si>
    <t>100087973WN</t>
  </si>
  <si>
    <t>733003863104</t>
  </si>
  <si>
    <t>Jenni Solid Long-Sleeve Pajama Top Navy Sail XS</t>
  </si>
  <si>
    <t>733003862954</t>
  </si>
  <si>
    <t>Jenni Solid Long-Sleeve Pajama Top Deep Black XS</t>
  </si>
  <si>
    <t>733003863128</t>
  </si>
  <si>
    <t>Jenni Solid Long-Sleeve Pajama Top Navy Sail M</t>
  </si>
  <si>
    <t>733003863050</t>
  </si>
  <si>
    <t>Jenni Solid Long-Sleeve Pajama Top June Bug XS</t>
  </si>
  <si>
    <t>100133252MS</t>
  </si>
  <si>
    <t>733003863883</t>
  </si>
  <si>
    <t>Jenni Cotton Flannel Pajama Shorts Funky Leo L</t>
  </si>
  <si>
    <t>192703067036</t>
  </si>
  <si>
    <t>Felina Denali Cozy Knit Leggings Tan XL</t>
  </si>
  <si>
    <t>192703066466</t>
  </si>
  <si>
    <t>Felina Denali Cozy Knit Cardigan Black L</t>
  </si>
  <si>
    <t>PJ211521</t>
  </si>
  <si>
    <t>675716974862</t>
  </si>
  <si>
    <t>INKIVY INKIVY Womens 42 Robe Blue SM</t>
  </si>
  <si>
    <t>II317125</t>
  </si>
  <si>
    <t>RZ9IXL2</t>
  </si>
  <si>
    <t>671478824698</t>
  </si>
  <si>
    <t>Insomniax Long Sleeve Pajama Top Slate XL</t>
  </si>
  <si>
    <t>671478824810</t>
  </si>
  <si>
    <t>Insomniax Printed Long Sleeve Pajama Top Sky Blue L</t>
  </si>
  <si>
    <t>EBJE043M</t>
  </si>
  <si>
    <t>671478824803</t>
  </si>
  <si>
    <t>Insomniax Printed Long Sleeve Pajama Top Light Blue L</t>
  </si>
  <si>
    <t>EBJE040M</t>
  </si>
  <si>
    <t>671478799699</t>
  </si>
  <si>
    <t>Insomniax Peached Jersey Pajama Top Multi L</t>
  </si>
  <si>
    <t>RX9IXLS</t>
  </si>
  <si>
    <t>26718814555</t>
  </si>
  <si>
    <t>Roudelain rop shoulder hoodie and slim l Animal Blurred Soft Silver Nh XL</t>
  </si>
  <si>
    <t>EBJE025M</t>
  </si>
  <si>
    <t>26718814807</t>
  </si>
  <si>
    <t>Roudelain Henley Top and Jogger Set Delicate Tie Dye White L</t>
  </si>
  <si>
    <t>EBJB016Z</t>
  </si>
  <si>
    <t>EBJE124M</t>
  </si>
  <si>
    <t>M121608</t>
  </si>
  <si>
    <t>EBJE314M</t>
  </si>
  <si>
    <t>888172772464</t>
  </si>
  <si>
    <t>Hue Dot-Print Classic Pajama Pants Black Dot M</t>
  </si>
  <si>
    <t>888172772488</t>
  </si>
  <si>
    <t>Hue Dot-Print Classic Pajama Pants Black Dot XL</t>
  </si>
  <si>
    <t>888172748827</t>
  </si>
  <si>
    <t>Hue Frost Tree Classic Pajama Pant Cupid L</t>
  </si>
  <si>
    <t>PJ211101</t>
  </si>
  <si>
    <t>888172748803</t>
  </si>
  <si>
    <t>Hue Frost Tree Classic Pajama Pant Cupid S</t>
  </si>
  <si>
    <t>888172772419</t>
  </si>
  <si>
    <t>Hue Wildgrove Mod Classic Pajama P Black Floral S</t>
  </si>
  <si>
    <t>PJ222124</t>
  </si>
  <si>
    <t>II220662</t>
  </si>
  <si>
    <t>888172749848</t>
  </si>
  <si>
    <t>Hue Frost Tree Classic Pajama Pant Shocking Pink S</t>
  </si>
  <si>
    <t>PJ211103</t>
  </si>
  <si>
    <t>EBJE279M</t>
  </si>
  <si>
    <t>M121602</t>
  </si>
  <si>
    <t>26718831286</t>
  </si>
  <si>
    <t>Jaclyn Intimates Printed Faux Henley Top Jogg Big Kitty Ebony Slate L</t>
  </si>
  <si>
    <t>EBJE137Z</t>
  </si>
  <si>
    <t>EBJE296Z</t>
  </si>
  <si>
    <t>26718942098</t>
  </si>
  <si>
    <t>Jaclyn Intimates Printed Faux Henley Top Jogg Colorful Candy Canes Peacoat XL</t>
  </si>
  <si>
    <t>G221601</t>
  </si>
  <si>
    <t>M420601</t>
  </si>
  <si>
    <t>26718885869</t>
  </si>
  <si>
    <t>Roudelain 2-Pk. Sleep Shorts Daydream Hearts Sambahole Pun S</t>
  </si>
  <si>
    <t>EBJE331M</t>
  </si>
  <si>
    <t>26718790804</t>
  </si>
  <si>
    <t>Roudelain Whisperluxe Printed Jogger Paj Brighton Plaid L</t>
  </si>
  <si>
    <t>26718802972</t>
  </si>
  <si>
    <t>Roudelain Whisperluxe Jogger Pajama Bott Black Space Dye L</t>
  </si>
  <si>
    <t>EBMN202Z</t>
  </si>
  <si>
    <t>26718803122</t>
  </si>
  <si>
    <t>Roudelain Whisperluxe Jogger Pajama Bott Tradewinds Spac XL</t>
  </si>
  <si>
    <t>26718803115</t>
  </si>
  <si>
    <t>Roudelain Whisperluxe Jogger Pajama Bott Tradewinds Spac S</t>
  </si>
  <si>
    <t>26718803092</t>
  </si>
  <si>
    <t>Roudelain Whisperluxe Jogger Pajama Bott Tradewinds Spac L</t>
  </si>
  <si>
    <t>26718803047</t>
  </si>
  <si>
    <t>Roudelain Whisperluxe Jogger Pajama Bott Flintstone Spac XL</t>
  </si>
  <si>
    <t>26718803023</t>
  </si>
  <si>
    <t>Roudelain Whisperluxe Jogger Pajama Bott Flintstone Spac M</t>
  </si>
  <si>
    <t>26718803108</t>
  </si>
  <si>
    <t>Roudelain Whisperluxe Jogger Pajama Bott Tradewinds Spac M</t>
  </si>
  <si>
    <t>26718803030</t>
  </si>
  <si>
    <t>Roudelain Whisperluxe Jogger Pajama Bott Flintstone Spac S</t>
  </si>
  <si>
    <t>26718802996</t>
  </si>
  <si>
    <t>Roudelain Whisperluxe Jogger Pajama Bott Black Space Dye S</t>
  </si>
  <si>
    <t>26718803085</t>
  </si>
  <si>
    <t>Roudelain Whisperluxe Jogger Pajama Bott Saragasso Sea S XL</t>
  </si>
  <si>
    <t>26718803054</t>
  </si>
  <si>
    <t>Roudelain Whisperluxe Jogger Pajama Bott Saragasso Sea S L</t>
  </si>
  <si>
    <t>26718802989</t>
  </si>
  <si>
    <t>Roudelain Whisperluxe Jogger Pajama Bott Black Space Dye M</t>
  </si>
  <si>
    <t>26718835352</t>
  </si>
  <si>
    <t>Jaclyn Intimates Super-Soft Short Sleeve Sleep Sketchy Stars White S</t>
  </si>
  <si>
    <t>26718817686</t>
  </si>
  <si>
    <t>Jaclyn Intimates Yummy Jogger Pajama Pants Vintage Indigo M</t>
  </si>
  <si>
    <t>26718798169</t>
  </si>
  <si>
    <t>Jaclyn Intimates Yummy Jogger Pajama Pants True Stripe M</t>
  </si>
  <si>
    <t>26718931535</t>
  </si>
  <si>
    <t>Jaclyn Intimates Yummy Jogger Pajama Pants Damsel White M</t>
  </si>
  <si>
    <t>26718817440</t>
  </si>
  <si>
    <t>26718791290</t>
  </si>
  <si>
    <t>Jaclyn Intimates Whisper Luxe Jogger Pajama Pan Striped Grey M</t>
  </si>
  <si>
    <t>EBJN046Z</t>
  </si>
  <si>
    <t>26718931542</t>
  </si>
  <si>
    <t>Jaclyn Intimates Yummy Jogger Pajama Pants Damsel White S</t>
  </si>
  <si>
    <t>26718931559</t>
  </si>
  <si>
    <t>Jaclyn Intimates Yummy Jogger Pajama Pants Damsel White XL</t>
  </si>
  <si>
    <t>26718798152</t>
  </si>
  <si>
    <t>Jaclyn Intimates Yummy Jogger Pajama Pants True Stripe L</t>
  </si>
  <si>
    <t>26718817563</t>
  </si>
  <si>
    <t>Jaclyn Intimates Yummy Jogger Pajama Pants Pearl Blue M</t>
  </si>
  <si>
    <t>733004015786</t>
  </si>
  <si>
    <t>INC International Concepts Solid Lace Cup Bodysuit Ballet Pink XL</t>
  </si>
  <si>
    <t>733004015779</t>
  </si>
  <si>
    <t>INC International Concepts Solid Lace Cup Bodysuit Ballet Pink L</t>
  </si>
  <si>
    <t>733003405595</t>
  </si>
  <si>
    <t>INC International Concepts Sheer Swiss Dot Cupped Bodysui Purple Dynasty S</t>
  </si>
  <si>
    <t>733002497126</t>
  </si>
  <si>
    <t>INC International Concepts Sheer Swiss Dot Cupped Bodysui Washed White XL</t>
  </si>
  <si>
    <t>733004015649</t>
  </si>
  <si>
    <t>INC International Concepts x Faux Snake Bodysuit XXL</t>
  </si>
  <si>
    <t>733003406110</t>
  </si>
  <si>
    <t>INC International Concepts Long-Sleeve Lace Mesh Bodysuit Vibrant Navy M</t>
  </si>
  <si>
    <t>733003406127</t>
  </si>
  <si>
    <t>INC International Concepts Long-Sleeve Lace Mesh Bodysuit Vibrant Navy L</t>
  </si>
  <si>
    <t>733002861811</t>
  </si>
  <si>
    <t>INC International Concepts Sheer Swiss Dot Cupped Bodysui Dutch Pink M</t>
  </si>
  <si>
    <t>733004810022</t>
  </si>
  <si>
    <t>INC International Concepts Womens Lace Bralette Jazzy Pink XXL</t>
  </si>
  <si>
    <t>733004810008</t>
  </si>
  <si>
    <t>INC International Concepts Womens Lace Bralette Jazzy Pink L</t>
  </si>
  <si>
    <t>733003405724</t>
  </si>
  <si>
    <t>INC International Concepts Womens Lace Bralette Purple Dynasty XL</t>
  </si>
  <si>
    <t>733003405717</t>
  </si>
  <si>
    <t>INC International Concepts Womens Lace Bralette Purple Dynasty L</t>
  </si>
  <si>
    <t>733003590970</t>
  </si>
  <si>
    <t>Jenni Womens Leopard Lace Hipster U Cali Pink M</t>
  </si>
  <si>
    <t>733004044847</t>
  </si>
  <si>
    <t>Jenni Womens Lace-Trim Thong Underw Fuchsia Purple M</t>
  </si>
  <si>
    <t>RAGO FOUNDATIONS</t>
  </si>
  <si>
    <t>NYLON, SPANDEX</t>
  </si>
  <si>
    <t>STANFIELD'S LIMITED</t>
  </si>
  <si>
    <t>COTTON, SPANDEX</t>
  </si>
  <si>
    <t>67205683674</t>
  </si>
  <si>
    <t>Elita Elita Essentials Cotton Stretc Black XL</t>
  </si>
  <si>
    <t>EL4040</t>
  </si>
  <si>
    <t>M02483</t>
  </si>
  <si>
    <t>406351MP</t>
  </si>
  <si>
    <t>194490215201</t>
  </si>
  <si>
    <t>Jockey Cotton Sleep Pants Fuschia XL</t>
  </si>
  <si>
    <t>194490267705</t>
  </si>
  <si>
    <t>Jockey Luxe Lounge Sleep Jogger Pants Mild Grey Heather XL</t>
  </si>
  <si>
    <t>GOLYTA</t>
  </si>
  <si>
    <t>733003829292</t>
  </si>
  <si>
    <t>Alfani Thermal Henley Pajama Set Gray Rose L</t>
  </si>
  <si>
    <t>733003827472</t>
  </si>
  <si>
    <t>Alfani Velour Hoodie Pants Pajama S Purple Swan XXL</t>
  </si>
  <si>
    <t>733003826604</t>
  </si>
  <si>
    <t>Alfani Ribbed Pajama Set Port Royale XS</t>
  </si>
  <si>
    <t>733003826697</t>
  </si>
  <si>
    <t>Alfani Ribbed Pajama Set Black Ice Hthr L</t>
  </si>
  <si>
    <t>733003826758</t>
  </si>
  <si>
    <t>Alfani Ribbed Pajama Set Sandy Beige L</t>
  </si>
  <si>
    <t>733003826642</t>
  </si>
  <si>
    <t>Alfani Ribbed Pajama Set Port Royale XL</t>
  </si>
  <si>
    <t>733003826611</t>
  </si>
  <si>
    <t>Alfani Ribbed Pajama Set Port Royale S</t>
  </si>
  <si>
    <t>733002166251</t>
  </si>
  <si>
    <t>Alfani Notched Collar Pajamas Set Classic Black XS</t>
  </si>
  <si>
    <t>732999650200</t>
  </si>
  <si>
    <t>Alfani Contrast Trim Sleep Set Black S</t>
  </si>
  <si>
    <t>732999650248</t>
  </si>
  <si>
    <t>Alfani Contrast Trim Sleep Set Black XXL</t>
  </si>
  <si>
    <t>733002046348</t>
  </si>
  <si>
    <t>Alfani Plus Size Knit Tank Top Pajama Heather Grey 1X</t>
  </si>
  <si>
    <t>100116833WN</t>
  </si>
  <si>
    <t>733004250910</t>
  </si>
  <si>
    <t>Alfani Soft Long-Sleeve Sleep Top Hy Charcoal Htr XXL</t>
  </si>
  <si>
    <t>719544079419</t>
  </si>
  <si>
    <t>Wacoal Full Figure Halo Lace Bra 6554 Black 40DD</t>
  </si>
  <si>
    <t>719544079518</t>
  </si>
  <si>
    <t>Wacoal Full Figure Halo Lace Bra 6554 Toast- Nude 01 40DD</t>
  </si>
  <si>
    <t>714370575432</t>
  </si>
  <si>
    <t>Flora by Flora Nikrooz Jenna Printed Sweater-Knit Paj Green M</t>
  </si>
  <si>
    <t>714370571526</t>
  </si>
  <si>
    <t>Flora by Flora Nikrooz Tammy Notch Collar Top Pants Blush L</t>
  </si>
  <si>
    <t>714370571533</t>
  </si>
  <si>
    <t>Flora by Flora Nikrooz Tammy Notch Collar Top Pants Blush XL</t>
  </si>
  <si>
    <t>714370543004</t>
  </si>
  <si>
    <t>Flora by Flora Nikrooz Anaya 3-Pc. Travel Set Ivory S</t>
  </si>
  <si>
    <t>Q81213</t>
  </si>
  <si>
    <t>714370574121</t>
  </si>
  <si>
    <t>Flora by Flora Nikrooz Jade Long-Sleeve Pajama Set Pink M</t>
  </si>
  <si>
    <t>761321690430</t>
  </si>
  <si>
    <t>Linea Donatella Tigertail Printed Chemise Nigh Brown S</t>
  </si>
  <si>
    <t>NTT110</t>
  </si>
  <si>
    <t>733001203599</t>
  </si>
  <si>
    <t>Family Pajamas Tartan Mixit Pajama Set Oversized Tartan L</t>
  </si>
  <si>
    <t>733002803873</t>
  </si>
  <si>
    <t>INC International Concepts Lace-Bodice Chiffon Chemise Dutch Pink XL</t>
  </si>
  <si>
    <t>766360834333</t>
  </si>
  <si>
    <t>Jenni Lightning Bolt Pajama Set Olive Lightning Bolt XXL</t>
  </si>
  <si>
    <t>733002042975</t>
  </si>
  <si>
    <t>Jenni Solid Leggings Deep Black XS</t>
  </si>
  <si>
    <t>733003805210</t>
  </si>
  <si>
    <t>Jenni Jogger Pajama Pants Bold Tiedye XXL</t>
  </si>
  <si>
    <t>733003869359</t>
  </si>
  <si>
    <t>Jenni HOODED PJ TOP Sunny Lime XS</t>
  </si>
  <si>
    <t>733003805296</t>
  </si>
  <si>
    <t>Jenni Cotton Waffle Pajama Tunic Celestial S</t>
  </si>
  <si>
    <t>100131294MS</t>
  </si>
  <si>
    <t>733003869304</t>
  </si>
  <si>
    <t>Jenni Pajama Tunic Top Deep Black S</t>
  </si>
  <si>
    <t>100133385MS</t>
  </si>
  <si>
    <t>733002043637</t>
  </si>
  <si>
    <t>Jenni Jogger Pajama Pants Leopard S</t>
  </si>
  <si>
    <t>733002063840</t>
  </si>
  <si>
    <t>Jenni Sweatshirt Pink Tiedye S</t>
  </si>
  <si>
    <t>733004893360</t>
  </si>
  <si>
    <t>Jenni Fuzzy Knit Sleep Crop Top Dusty Jade XS</t>
  </si>
  <si>
    <t>733004860409</t>
  </si>
  <si>
    <t>Jenni Solid Ribbed Tank Top Olive S</t>
  </si>
  <si>
    <t>733003867225</t>
  </si>
  <si>
    <t>Jenni Biker Shorts Tan Leopard M</t>
  </si>
  <si>
    <t>100132728MS</t>
  </si>
  <si>
    <t>716273666811</t>
  </si>
  <si>
    <t>DKNY Printed Maxi Chemise Nightgown Dkblstp XL</t>
  </si>
  <si>
    <t>769137788433</t>
  </si>
  <si>
    <t>Refinery29 Printed Henley Sleep Shirt S Navy M</t>
  </si>
  <si>
    <t>RF3225240</t>
  </si>
  <si>
    <t>REFINERY 29/CHARLES KOMAR &amp; SONS</t>
  </si>
  <si>
    <t>192703067012</t>
  </si>
  <si>
    <t>Felina Denali Cozy Knit Leggings Tan M</t>
  </si>
  <si>
    <t>192703066831</t>
  </si>
  <si>
    <t>Felina Denali Cozy Knit Wrap Sweater Black XL</t>
  </si>
  <si>
    <t>192703066091</t>
  </si>
  <si>
    <t>Felina Lassen Terry Sweatpants Grey M</t>
  </si>
  <si>
    <t>888172751957</t>
  </si>
  <si>
    <t>Hue Womens Ribbed Henley Pajama S Sleet Medium</t>
  </si>
  <si>
    <t>888172751964</t>
  </si>
  <si>
    <t>Hue Womens Ribbed Henley Pajama S Sleet Large</t>
  </si>
  <si>
    <t>888172751919</t>
  </si>
  <si>
    <t>Hue Womens Margaricious Henley Pa Black Medium</t>
  </si>
  <si>
    <t>PJ211520</t>
  </si>
  <si>
    <t>671478824919</t>
  </si>
  <si>
    <t>Insomniax Printed Long Sleeve Pajama Top Heather Grey XL</t>
  </si>
  <si>
    <t>671478816990</t>
  </si>
  <si>
    <t>Insomniax Butter Jersey Printed Jogger P Coral S</t>
  </si>
  <si>
    <t>RZ9IXP4</t>
  </si>
  <si>
    <t>671478816914</t>
  </si>
  <si>
    <t>Insomniax Butter Jersey Printed Jogger P Coral L</t>
  </si>
  <si>
    <t>671478816402</t>
  </si>
  <si>
    <t>Insomniax Long-Sleeve Pajama Top Heather Cl L</t>
  </si>
  <si>
    <t>671478816426</t>
  </si>
  <si>
    <t>Insomniax Long-Sleeve Pajama Top Heather Cl M</t>
  </si>
  <si>
    <t>671478824797</t>
  </si>
  <si>
    <t>Insomniax Printed Long Sleeve Pajama Top Heather Grey L</t>
  </si>
  <si>
    <t>671478799873</t>
  </si>
  <si>
    <t>Insomniax Peached Jersey Pajama Pants Ivory M</t>
  </si>
  <si>
    <t>RX9IXP</t>
  </si>
  <si>
    <t>192703066763</t>
  </si>
  <si>
    <t>Felina Denali Cozy Cropped Knit Sleep Tan S</t>
  </si>
  <si>
    <t>192703066787</t>
  </si>
  <si>
    <t>Felina Denali Cozy Cropped Knit Sleep Tan L</t>
  </si>
  <si>
    <t>192703066695</t>
  </si>
  <si>
    <t>Felina Denali Cozy Cropped Knit Sleep Black M</t>
  </si>
  <si>
    <t>192703066770</t>
  </si>
  <si>
    <t>Felina Denali Cozy Cropped Knit Sleep Tan M</t>
  </si>
  <si>
    <t>192703066794</t>
  </si>
  <si>
    <t>Felina Denali Cozy Cropped Knit Sleep Tan XL</t>
  </si>
  <si>
    <t>26718885180</t>
  </si>
  <si>
    <t>Roudelain Whisper Luxe Short-Sleeve Top Flamingo Pink Spacedyetidal T L</t>
  </si>
  <si>
    <t>26718789952</t>
  </si>
  <si>
    <t>Jaclyn Intimates Super-Soft Jogger Pants Pajama Orchid Smoketie Dye M</t>
  </si>
  <si>
    <t>26718789945</t>
  </si>
  <si>
    <t>Jaclyn Intimates Super-Soft Jogger Pants Pajama Orchid Smoketie Dye L</t>
  </si>
  <si>
    <t>26718789976</t>
  </si>
  <si>
    <t>Jaclyn Intimates Super-Soft Jogger Pants Pajama Orchid Smoketie Dye XL</t>
  </si>
  <si>
    <t>26718789969</t>
  </si>
  <si>
    <t>Jaclyn Intimates Super-Soft Jogger Pants Pajama Orchid Smoketie Dye S</t>
  </si>
  <si>
    <t>889835341553</t>
  </si>
  <si>
    <t>Muk Luks Butter-Knit V-Neck Flare-Leg Mauve S</t>
  </si>
  <si>
    <t>889835341515</t>
  </si>
  <si>
    <t>Muk Luks Butter-Knit V-Neck Flare-Leg Gray S</t>
  </si>
  <si>
    <t>889835278750</t>
  </si>
  <si>
    <t>WHITE ORCHID Dream Knit Cropped Pajama Pant Blue Floral XL</t>
  </si>
  <si>
    <t>889835341607</t>
  </si>
  <si>
    <t>Muk Luks Butter-Knit V-Neck Flare-Leg Pink Plaid M</t>
  </si>
  <si>
    <t>889835341560</t>
  </si>
  <si>
    <t>Muk Luks Butter-Knit V-Neck Flare-Leg Mauve M</t>
  </si>
  <si>
    <t>889835341522</t>
  </si>
  <si>
    <t>Muk Luks Butter-Knit V-Neck Flare-Leg Gray M</t>
  </si>
  <si>
    <t>26718885685</t>
  </si>
  <si>
    <t>Roudelain 2-Pk. Sleep Shorts Heart Multiply Whitejabari Sp L</t>
  </si>
  <si>
    <t>26718885715</t>
  </si>
  <si>
    <t>Roudelain 2-Pk. Sleep Shorts Heart Multiply Whitejabari Sp XL</t>
  </si>
  <si>
    <t>26718885845</t>
  </si>
  <si>
    <t>Roudelain 2-Pk. Sleep Shorts Daydream Hearts Sambahole Pun L</t>
  </si>
  <si>
    <t>26718753380</t>
  </si>
  <si>
    <t>Roudelain Printed Tank Top Shorts Slee Fillmore Tie Dye L</t>
  </si>
  <si>
    <t>26718798558</t>
  </si>
  <si>
    <t>Roudelain 2-Pk. Sleep Shorts Kara Dots June Stripe L</t>
  </si>
  <si>
    <t>26718885692</t>
  </si>
  <si>
    <t>Roudelain 2-Pk. Sleep Shorts Heart Multiply Whitejabari Sp M</t>
  </si>
  <si>
    <t>26718803078</t>
  </si>
  <si>
    <t>Roudelain Whisperluxe Jogger Pajama Bott Saragasso Sea S S</t>
  </si>
  <si>
    <t>26718803009</t>
  </si>
  <si>
    <t>Roudelain Whisperluxe Jogger Pajama Bott Black Space Dye XL</t>
  </si>
  <si>
    <t>26718803016</t>
  </si>
  <si>
    <t>Roudelain Whisperluxe Jogger Pajama Bott Flintstone Spac L</t>
  </si>
  <si>
    <t>26718790835</t>
  </si>
  <si>
    <t>Roudelain Whisperluxe Printed Jogger Paj Brighton Plaid XL</t>
  </si>
  <si>
    <t>26718803061</t>
  </si>
  <si>
    <t>Roudelain Whisperluxe Jogger Pajama Bott Saragasso Sea S M</t>
  </si>
  <si>
    <t>26718817693</t>
  </si>
  <si>
    <t>Jaclyn Intimates Yummy Jogger Pajama Pants Vintage Indigo S</t>
  </si>
  <si>
    <t>26718817488</t>
  </si>
  <si>
    <t>Jaclyn Intimates Yummy Jogger Pajama Pants Flintstone M</t>
  </si>
  <si>
    <t>26718817471</t>
  </si>
  <si>
    <t>Jaclyn Intimates Yummy Jogger Pajama Pants Flintstone L</t>
  </si>
  <si>
    <t>26718851789</t>
  </si>
  <si>
    <t>Jaclyn Intimates Whisper Luxe Lounge Jogger Pan Polar Knit M</t>
  </si>
  <si>
    <t>26718817587</t>
  </si>
  <si>
    <t>Jaclyn Intimates Yummy Jogger Pajama Pants Pearl Blue XL</t>
  </si>
  <si>
    <t>26718817457</t>
  </si>
  <si>
    <t>Jaclyn Intimates Yummy Jogger Pajama Pants Black Print S</t>
  </si>
  <si>
    <t>26718817501</t>
  </si>
  <si>
    <t>Jaclyn Intimates Yummy Jogger Pajama Pants Flintstone XL</t>
  </si>
  <si>
    <t>26718791214</t>
  </si>
  <si>
    <t>Jaclyn Intimates Whisper Luxe Jogger Pajama Pan British Plaid M</t>
  </si>
  <si>
    <t>26718791078</t>
  </si>
  <si>
    <t>Jaclyn Intimates Whisper Luxe Jogger Pajama Pan Spotty Felix XL</t>
  </si>
  <si>
    <t>733003591557</t>
  </si>
  <si>
    <t>Jenni Womens Leopard Lace Thong Emblem Gold M</t>
  </si>
  <si>
    <t>769137384246</t>
  </si>
  <si>
    <t>Eileen West Lace-Trimmed Cotton Ballet-Len Pink M</t>
  </si>
  <si>
    <t>E5219842</t>
  </si>
  <si>
    <t>28266813752</t>
  </si>
  <si>
    <t>Miss Elaine Bed Jacket Aubergine S</t>
  </si>
  <si>
    <t>28266811802</t>
  </si>
  <si>
    <t>Miss Elaine Printed Notch Collar Pajama Se Lt. Blue XL</t>
  </si>
  <si>
    <t>769137481723</t>
  </si>
  <si>
    <t>Cuddl Duds Printed Top Jogger Pants Paj Coal Multi M</t>
  </si>
  <si>
    <t>769137481600</t>
  </si>
  <si>
    <t>Cuddl Duds Printed Top Jogger Pants Paj Pink Print M</t>
  </si>
  <si>
    <t>28266824598</t>
  </si>
  <si>
    <t>Miss Elaine Petite Notch-Collar Pajama Set Spring Multi Floral PM</t>
  </si>
  <si>
    <t>769137405071</t>
  </si>
  <si>
    <t>Disney Mickey Friends Tank Top Sl Red XL</t>
  </si>
  <si>
    <t>M8901009MK</t>
  </si>
  <si>
    <t>194490324378</t>
  </si>
  <si>
    <t>Jockey Luxe Lounge Sleep Jogger Pants Crushed Cranberry XL</t>
  </si>
  <si>
    <t>194490324514</t>
  </si>
  <si>
    <t>Jockey Luxe Lounge Sleep Jogger Pants Ballet Slipper XL</t>
  </si>
  <si>
    <t>733002041770</t>
  </si>
  <si>
    <t>Alfani Tank Top Crystal Pink XS</t>
  </si>
  <si>
    <t>SMALL S/S</t>
  </si>
  <si>
    <t>733004894534</t>
  </si>
  <si>
    <t>Jenni Sleep Jogger Pants Marble - Rose XS</t>
  </si>
  <si>
    <t>733003868116</t>
  </si>
  <si>
    <t>Jenni HOODED PJ TOP Leopard S</t>
  </si>
  <si>
    <t>100131282MS</t>
  </si>
  <si>
    <t>100131292MS</t>
  </si>
  <si>
    <t>733003805234</t>
  </si>
  <si>
    <t>Jenni Pajama Tunic Top Bold Tiedye S</t>
  </si>
  <si>
    <t>733003869298</t>
  </si>
  <si>
    <t>Jenni Pajama Tunic Top Deep Black XS</t>
  </si>
  <si>
    <t>100132725MS</t>
  </si>
  <si>
    <t>733003867157</t>
  </si>
  <si>
    <t>Jenni Solid Leggings Tonal Camo S</t>
  </si>
  <si>
    <t>100132726MS</t>
  </si>
  <si>
    <t>733003867348</t>
  </si>
  <si>
    <t>Jenni Biker Shorts Tonal Camo XS</t>
  </si>
  <si>
    <t>733002063758</t>
  </si>
  <si>
    <t>Jenni Biker Shorts Deep Black M</t>
  </si>
  <si>
    <t>100116876MS</t>
  </si>
  <si>
    <t>769137790672</t>
  </si>
  <si>
    <t>Refinery29 Printed Notch-Collar Pajama Se Grey Print S</t>
  </si>
  <si>
    <t>RF3925241</t>
  </si>
  <si>
    <t>192703066657</t>
  </si>
  <si>
    <t>Felina Denali Cozy Knit Hooded Tunic Tan M</t>
  </si>
  <si>
    <t>769137788600</t>
  </si>
  <si>
    <t>Refinery29 Printed Henley Sleep Shirt S Grey Heather S</t>
  </si>
  <si>
    <t>769137788518</t>
  </si>
  <si>
    <t>Refinery29 Printed Henley Sleep Shirt S Green Print S</t>
  </si>
  <si>
    <t>192703066152</t>
  </si>
  <si>
    <t>Felina Lassen Terry Sweatpants Clay XL</t>
  </si>
  <si>
    <t>RUSTCOPPER</t>
  </si>
  <si>
    <t>192703052575</t>
  </si>
  <si>
    <t>Felina Velvety Jogger Pajama Pants Black XL</t>
  </si>
  <si>
    <t>889835318302</t>
  </si>
  <si>
    <t>Muk Luks Printed Hacci Pajamas Sleep Bear M</t>
  </si>
  <si>
    <t>889835341577</t>
  </si>
  <si>
    <t>Muk Luks Butter-Knit V-Neck Flare-Leg Mauve L</t>
  </si>
  <si>
    <t>EAYE087M</t>
  </si>
  <si>
    <t>26718886231</t>
  </si>
  <si>
    <t>Roudelain Big Girls Mommy Me Whisper L Cloudy Tie Dyewhitered XS</t>
  </si>
  <si>
    <t>26718817556</t>
  </si>
  <si>
    <t>Jaclyn Intimates Yummy Jogger Pajama Pants Pearl Blue L</t>
  </si>
  <si>
    <t>26718791047</t>
  </si>
  <si>
    <t>Jaclyn Intimates Whisper Luxe Jogger Pajama Pan Spotty Felix L</t>
  </si>
  <si>
    <t>26718817570</t>
  </si>
  <si>
    <t>Jaclyn Intimates Yummy Jogger Pajama Pants Pearl Blue S</t>
  </si>
  <si>
    <t>26718798176</t>
  </si>
  <si>
    <t>Jaclyn Intimates Yummy Jogger Pajama Pants True Stripe S</t>
  </si>
  <si>
    <t>26718803290</t>
  </si>
  <si>
    <t>Jaclyn Intimates Ribbed Jogger Pajama Pants Sweet Purple L</t>
  </si>
  <si>
    <t>EBJN059Z</t>
  </si>
  <si>
    <t>26718803306</t>
  </si>
  <si>
    <t>Jaclyn Intimates Ribbed Jogger Pajama Pants Sweet Purple M</t>
  </si>
  <si>
    <t>26718798138</t>
  </si>
  <si>
    <t>26718931528</t>
  </si>
  <si>
    <t>Jaclyn Intimates Yummy Jogger Pajama Pants Damsel White L</t>
  </si>
  <si>
    <t>733003591540</t>
  </si>
  <si>
    <t>Jenni Womens Leopard Lace Thong Emblem Gold S</t>
  </si>
  <si>
    <t>733003830021</t>
  </si>
  <si>
    <t>733003827083</t>
  </si>
  <si>
    <t>733004250897</t>
  </si>
  <si>
    <t>100087701MS</t>
  </si>
  <si>
    <t>100125879MS</t>
  </si>
  <si>
    <t>100131617MS</t>
  </si>
  <si>
    <t>733003871857</t>
  </si>
  <si>
    <t>100127685MS</t>
  </si>
  <si>
    <t>733003871840</t>
  </si>
  <si>
    <t>CHARTER CLUB WMN-MMG</t>
  </si>
  <si>
    <t>790812401415</t>
  </si>
  <si>
    <t>790812577028</t>
  </si>
  <si>
    <t>34 D</t>
  </si>
  <si>
    <t>QS6526</t>
  </si>
  <si>
    <t>790812875025</t>
  </si>
  <si>
    <t>SLEEP SHORT</t>
  </si>
  <si>
    <t>790812874981</t>
  </si>
  <si>
    <t>QS6721</t>
  </si>
  <si>
    <t>790812744109</t>
  </si>
  <si>
    <t>QS6813</t>
  </si>
  <si>
    <t>790812816523</t>
  </si>
  <si>
    <t>790812563922</t>
  </si>
  <si>
    <t>719544953733</t>
  </si>
  <si>
    <t>719544953740</t>
  </si>
  <si>
    <t>DREAMGIRL/LOVIN ENTERPRISES INC</t>
  </si>
  <si>
    <t>733002804092</t>
  </si>
  <si>
    <t>100046772MS</t>
  </si>
  <si>
    <t>733003805128</t>
  </si>
  <si>
    <t>733003869403</t>
  </si>
  <si>
    <t>733003868093</t>
  </si>
  <si>
    <t>100127276MS</t>
  </si>
  <si>
    <t>733004893445</t>
  </si>
  <si>
    <t>889945269914</t>
  </si>
  <si>
    <t>769137788617</t>
  </si>
  <si>
    <t>192703066947</t>
  </si>
  <si>
    <t>192703066824</t>
  </si>
  <si>
    <t>192703066930</t>
  </si>
  <si>
    <t>671478816822</t>
  </si>
  <si>
    <t>RZ9IXP2</t>
  </si>
  <si>
    <t>26718880017</t>
  </si>
  <si>
    <t>EBJE136M</t>
  </si>
  <si>
    <t>192703060235</t>
  </si>
  <si>
    <t>M420602</t>
  </si>
  <si>
    <t>192703060372</t>
  </si>
  <si>
    <t>26718885197</t>
  </si>
  <si>
    <t>26718885142</t>
  </si>
  <si>
    <t>26718813718</t>
  </si>
  <si>
    <t>194959402692</t>
  </si>
  <si>
    <t>CSLMST</t>
  </si>
  <si>
    <t>26718790880</t>
  </si>
  <si>
    <t>26718790859</t>
  </si>
  <si>
    <t>26718791054</t>
  </si>
  <si>
    <t>26718817495</t>
  </si>
  <si>
    <t>803J</t>
  </si>
  <si>
    <t>11</t>
  </si>
  <si>
    <t>733004810015</t>
  </si>
  <si>
    <t>733004947414</t>
  </si>
  <si>
    <t>733004044755</t>
  </si>
  <si>
    <t>733003592394</t>
  </si>
  <si>
    <t>CD8112850</t>
  </si>
  <si>
    <t>194490195824</t>
  </si>
  <si>
    <t>733002041923</t>
  </si>
  <si>
    <t>Alfani Leggings Classic Black L</t>
  </si>
  <si>
    <t>733002042173</t>
  </si>
  <si>
    <t>Alfani Deep V-Neck Bodysuit Classic Black XXL</t>
  </si>
  <si>
    <t>733002041794</t>
  </si>
  <si>
    <t>Alfani Tank Top Crystal Pink M</t>
  </si>
  <si>
    <t>733002041695</t>
  </si>
  <si>
    <t>Alfani Tank Top Classic Black XL</t>
  </si>
  <si>
    <t>733004168550</t>
  </si>
  <si>
    <t>Alfani Lounge Wrap Hy Charcoal Htr L</t>
  </si>
  <si>
    <t>733003435769</t>
  </si>
  <si>
    <t>Charter Club Cotton Crochet-Trim Top Crop Multi Stripe XXL</t>
  </si>
  <si>
    <t>11531894501</t>
  </si>
  <si>
    <t>Calvin Klein Womens Plus Size Invisibles C Bare 1X</t>
  </si>
  <si>
    <t>11531891296</t>
  </si>
  <si>
    <t>Calvin Klein x Josephine Nude 4 XS</t>
  </si>
  <si>
    <t>719544498326</t>
  </si>
  <si>
    <t>Wacoal Retro Chic Contour Bra 853186 Black 36DDD</t>
  </si>
  <si>
    <t>36 DDD</t>
  </si>
  <si>
    <t>POLYESTER/SPANDEX; LACE: NYLON</t>
  </si>
  <si>
    <t>714370572103</t>
  </si>
  <si>
    <t>Flora by Flora Nikrooz Audrey Solid T-Shirt Printed Grey S</t>
  </si>
  <si>
    <t>714370572127</t>
  </si>
  <si>
    <t>Flora by Flora Nikrooz Audrey Solid T-Shirt Printed Grey L</t>
  </si>
  <si>
    <t>714370571953</t>
  </si>
  <si>
    <t>Flora by Flora Nikrooz Audrey Solid T-Shirt Printed Black M</t>
  </si>
  <si>
    <t>733004894565</t>
  </si>
  <si>
    <t>Jenni Sleep Jogger Pants Marble - Rose L</t>
  </si>
  <si>
    <t>733004893650</t>
  </si>
  <si>
    <t>Jenni Super-Soft Long-Sleeve Sleep T Washed White XXL</t>
  </si>
  <si>
    <t>733004893612</t>
  </si>
  <si>
    <t>Jenni Super-Soft Long-Sleeve Sleep T Washed White S</t>
  </si>
  <si>
    <t>671478824841</t>
  </si>
  <si>
    <t>Insomniax Printed Long Sleeve Pajama Top Light Blue M</t>
  </si>
  <si>
    <t>26718814609</t>
  </si>
  <si>
    <t>Roudelain rop shoulder hoodie and slim l Star Bright Stars Soft Silver L</t>
  </si>
  <si>
    <t>26718814678</t>
  </si>
  <si>
    <t>Roudelain rop shoulder hoodie and slim l Delicate Tie Dye White XL</t>
  </si>
  <si>
    <t>26718814654</t>
  </si>
  <si>
    <t>Roudelain rop shoulder hoodie and slim l Delicate Tie Dye White M</t>
  </si>
  <si>
    <t>26718814647</t>
  </si>
  <si>
    <t>Roudelain rop shoulder hoodie and slim l Delicate Tie Dye White L</t>
  </si>
  <si>
    <t>26718814753</t>
  </si>
  <si>
    <t>Roudelain Henley Top and Jogger Set Heather Rose Tan XL</t>
  </si>
  <si>
    <t>Felina Taylor Boyfriend Sleep Sweatsh Light Gray M</t>
  </si>
  <si>
    <t>888172772518</t>
  </si>
  <si>
    <t>Hue Striped Classic Pajama Pants Pink Stripe L</t>
  </si>
  <si>
    <t>PJ222126</t>
  </si>
  <si>
    <t>26718871855</t>
  </si>
  <si>
    <t>Roudelain Jogger Pajama Bottoms, Set of Crosswalk Plaid Crimsonspaced M</t>
  </si>
  <si>
    <t>889835341539</t>
  </si>
  <si>
    <t>Muk Luks Butter-Knit V-Neck Flare-Leg Gray L</t>
  </si>
  <si>
    <t>675716979386</t>
  </si>
  <si>
    <t>INKIVY Womens Solid Terry Wrap with Blue ONE SIZE</t>
  </si>
  <si>
    <t>II000350</t>
  </si>
  <si>
    <t>MEDIUN RED</t>
  </si>
  <si>
    <t>733002845224</t>
  </si>
  <si>
    <t>INC International Concepts Womens Lace Bustier Tropical Green S</t>
  </si>
  <si>
    <t>733003405656</t>
  </si>
  <si>
    <t>INC International Concepts Womens Lace Bralette Nightfall M</t>
  </si>
  <si>
    <t>733003405700</t>
  </si>
  <si>
    <t>INC International Concepts Womens Lace Bralette Purple Dynasty M</t>
  </si>
  <si>
    <t>INC International Concepts Womens Lace Bralette Jazzy Pink XL</t>
  </si>
  <si>
    <t>733004810312</t>
  </si>
  <si>
    <t>INC International Concepts Womens Floral-Lace-Trim Brale Kissed Lips XXL</t>
  </si>
  <si>
    <t>733004810305</t>
  </si>
  <si>
    <t>INC International Concepts Womens Floral-Lace-Trim Brale Kissed Lips XL</t>
  </si>
  <si>
    <t>Jenni Womens Lace-Trim Thong Underw Chai XXL</t>
  </si>
  <si>
    <t>733003403539</t>
  </si>
  <si>
    <t>Jenni Womens Whimsy Dot Bikini 1001 Multi Plaid XXXL</t>
  </si>
  <si>
    <t>733003403461</t>
  </si>
  <si>
    <t>Jenni Womens Whimsy Dot Bikini 1001 Star XXL</t>
  </si>
  <si>
    <t>CD8012847</t>
  </si>
  <si>
    <t>809709707056</t>
  </si>
  <si>
    <t>Cuddl Duds Fleece Cardigan Cheetah XL</t>
  </si>
  <si>
    <t>733002041879</t>
  </si>
  <si>
    <t>Alfani Tank Top Heather Charcoal XL</t>
  </si>
  <si>
    <t>733002041688</t>
  </si>
  <si>
    <t>Alfani Tank Top Classic Black L</t>
  </si>
  <si>
    <t>738994251404</t>
  </si>
  <si>
    <t>Bali Beauty Lift Printed Smoothing BlackNude 38C</t>
  </si>
  <si>
    <t>DF6563</t>
  </si>
  <si>
    <t>QS6648</t>
  </si>
  <si>
    <t>96% MICRO MODAL/4% ELASTANE</t>
  </si>
  <si>
    <t>714370543868</t>
  </si>
  <si>
    <t>Flora by Flora Nikrooz Emily 3-Pc. Travel Set Black M</t>
  </si>
  <si>
    <t>733002860517</t>
  </si>
  <si>
    <t>INC International Concepts Lace-Trim Cami Shorts Sleep Aqua Sky XXL</t>
  </si>
  <si>
    <t>100140725MS</t>
  </si>
  <si>
    <t>Jenni Fuzzy Knit Sleep Crop Top Withered Rose M</t>
  </si>
  <si>
    <t>733004893063</t>
  </si>
  <si>
    <t>Jenni Ribbed Henley Pajama Top Lilac Whisper XS</t>
  </si>
  <si>
    <t>100136956MS</t>
  </si>
  <si>
    <t>733004893100</t>
  </si>
  <si>
    <t>Jenni Ribbed Henley Pajama Top Lilac Whisper XL</t>
  </si>
  <si>
    <t>733004893179</t>
  </si>
  <si>
    <t>Jenni Ribbed Henley Pajama Top Parfait Pink XXL</t>
  </si>
  <si>
    <t>100136972MS</t>
  </si>
  <si>
    <t>733004109751</t>
  </si>
  <si>
    <t>Jenni Solid Long-Sleeve Pajama Top June Bug XXL</t>
  </si>
  <si>
    <t>PURE FIBER/IGH GLOBAL CORPORATION</t>
  </si>
  <si>
    <t>II220663</t>
  </si>
  <si>
    <t>733002497096</t>
  </si>
  <si>
    <t>INC International Concepts Sheer Swiss Dot Cupped Bodysui Washed White S</t>
  </si>
  <si>
    <t>733004809941</t>
  </si>
  <si>
    <t>INC International Concepts Womens Lace Bralette Maraschino M</t>
  </si>
  <si>
    <t>194490267767</t>
  </si>
  <si>
    <t>Jockey Luxe Lounge Brushed Pants Adorned Dot Geo L</t>
  </si>
  <si>
    <t>733004757174</t>
  </si>
  <si>
    <t>Alfani Super-Soft Modal Basic Sleep S Classic Black XL</t>
  </si>
  <si>
    <t>733002058280</t>
  </si>
  <si>
    <t>Alfani Notched Collar Pajamas Set Classic Black XXL</t>
  </si>
  <si>
    <t>733004756894</t>
  </si>
  <si>
    <t>Alfani Super Soft Modal Basic Jogger Hy Charcoal XS</t>
  </si>
  <si>
    <t>733004756948</t>
  </si>
  <si>
    <t>Alfani Super Soft Modal Basic Jogger Hy Charcoal XXL</t>
  </si>
  <si>
    <t>733004756917</t>
  </si>
  <si>
    <t>Alfani Super Soft Modal Basic Jogger Hy Charcoal M</t>
  </si>
  <si>
    <t>733004756924</t>
  </si>
  <si>
    <t>Alfani Super Soft Modal Basic Jogger Hy Charcoal L</t>
  </si>
  <si>
    <t>733002041800</t>
  </si>
  <si>
    <t>Alfani Tank Top Crystal Pink L</t>
  </si>
  <si>
    <t>733002041701</t>
  </si>
  <si>
    <t>Alfani Tank Top Classic Black XXL</t>
  </si>
  <si>
    <t>733004756566</t>
  </si>
  <si>
    <t>Alfani Super Soft Modal Basic Jogger Classic Black XS</t>
  </si>
  <si>
    <t>733004756573</t>
  </si>
  <si>
    <t>Alfani Super Soft Modal Basic Jogger Classic Black S</t>
  </si>
  <si>
    <t>733004756818</t>
  </si>
  <si>
    <t>Alfani Super Soft Modal Basic Jogger Classic Black XL</t>
  </si>
  <si>
    <t>733004756825</t>
  </si>
  <si>
    <t>Alfani Super Soft Modal Basic Jogger Classic Black XXL</t>
  </si>
  <si>
    <t>733002046355</t>
  </si>
  <si>
    <t>Alfani Plus Size Knit Tank Top Pajama Heather Grey 2X</t>
  </si>
  <si>
    <t>733002046362</t>
  </si>
  <si>
    <t>Alfani Plus Size Knit Tank Top Pajama Heather Grey 3X</t>
  </si>
  <si>
    <t>733004168604</t>
  </si>
  <si>
    <t>Alfani Lounge Wrap Oatmeal Hthr M</t>
  </si>
  <si>
    <t>733004168635</t>
  </si>
  <si>
    <t>Alfani Lounge Wrap Oatmeal Hthr XXL</t>
  </si>
  <si>
    <t>733004250873</t>
  </si>
  <si>
    <t>Alfani Soft Long-Sleeve Sleep Top Hy Charcoal Htr S</t>
  </si>
  <si>
    <t>Alfani Soft Long-Sleeve Sleep Top Hy Charcoal Htr L</t>
  </si>
  <si>
    <t>733004250866</t>
  </si>
  <si>
    <t>Alfani Soft Long-Sleeve Sleep Top Hy Charcoal Htr XS</t>
  </si>
  <si>
    <t>733003577919</t>
  </si>
  <si>
    <t>Alfani Super Soft Jogger Pajama Pants Oatmeal Hthr XS</t>
  </si>
  <si>
    <t>733003577926</t>
  </si>
  <si>
    <t>Alfani Super Soft Jogger Pajama Pants Oatmeal Hthr S</t>
  </si>
  <si>
    <t>733003577933</t>
  </si>
  <si>
    <t>Alfani Super Soft Jogger Pajama Pants Oatmeal Hthr M</t>
  </si>
  <si>
    <t>762120070393</t>
  </si>
  <si>
    <t>Alfani Colorblocked Pajama Jogger Pan Pale Blue Mist S</t>
  </si>
  <si>
    <t>100137153MS</t>
  </si>
  <si>
    <t>790812827536</t>
  </si>
  <si>
    <t>Calvin Klein Wide-Ribbed Knit Ease Robe Black XSS</t>
  </si>
  <si>
    <t>QS6751</t>
  </si>
  <si>
    <t>790812875063</t>
  </si>
  <si>
    <t>Calvin Klein Satin-Trim Sleep Pants Rebellious XS</t>
  </si>
  <si>
    <t>790812875292</t>
  </si>
  <si>
    <t>Calvin Klein Pure Lounge Long Sleeve Hoodie Fresh Pink Heather L</t>
  </si>
  <si>
    <t>QS6679</t>
  </si>
  <si>
    <t>790812827581</t>
  </si>
  <si>
    <t>Calvin Klein Ease Longsleeve Hoodie Black S</t>
  </si>
  <si>
    <t>QS6752</t>
  </si>
  <si>
    <t>Calvin Klein Satin-Trim Cami Rebellious S</t>
  </si>
  <si>
    <t>790812827499</t>
  </si>
  <si>
    <t>Calvin Klein Sweater-Knit Ribbed Bodysuit Black S</t>
  </si>
  <si>
    <t>95% POLYESTER/5% ELASTANE</t>
  </si>
  <si>
    <t>790812827505</t>
  </si>
  <si>
    <t>Calvin Klein Sweater-Knit Ribbed Bodysuit Black M</t>
  </si>
  <si>
    <t>790812827734</t>
  </si>
  <si>
    <t>Calvin Klein Structured Lounge Short Sleeve Bleached Denim S</t>
  </si>
  <si>
    <t>QS6756</t>
  </si>
  <si>
    <t>790812744000</t>
  </si>
  <si>
    <t>Calvin Klein Logo-Print Sleep Shirt Black S</t>
  </si>
  <si>
    <t>790812744055</t>
  </si>
  <si>
    <t>Calvin Klein Logo-Print Sleep Shirt Ashford Grey S</t>
  </si>
  <si>
    <t>Calvin Klein Logo-Print Sleep Shirt Slate Turquoise S</t>
  </si>
  <si>
    <t>790812696927</t>
  </si>
  <si>
    <t>Calvin Klein Womens Pure Ribbed Cheeky Bik Barely Pink S</t>
  </si>
  <si>
    <t>790812851661</t>
  </si>
  <si>
    <t>Calvin Klein Invisibles Thong D3428 Charmed M</t>
  </si>
  <si>
    <t>733004893568</t>
  </si>
  <si>
    <t>Jenni Fuzzy Knit Sleep Pants Withered Rose M</t>
  </si>
  <si>
    <t>733004893520</t>
  </si>
  <si>
    <t>Jenni Fuzzy Knit Sleep Pants Dusty Jade XL</t>
  </si>
  <si>
    <t>733004893513</t>
  </si>
  <si>
    <t>Jenni Fuzzy Knit Sleep Pants Dusty Jade L</t>
  </si>
  <si>
    <t>733004893490</t>
  </si>
  <si>
    <t>Jenni Fuzzy Knit Sleep Pants Dusty Jade S</t>
  </si>
  <si>
    <t>733004893599</t>
  </si>
  <si>
    <t>Jenni Fuzzy Knit Sleep Pants Withered Rose XXL</t>
  </si>
  <si>
    <t>733004893582</t>
  </si>
  <si>
    <t>Jenni Fuzzy Knit Sleep Pants Withered Rose XL</t>
  </si>
  <si>
    <t>733004893735</t>
  </si>
  <si>
    <t>Jenni Super-Soft Long-Sleeve Sleep T Withered Rose S</t>
  </si>
  <si>
    <t>733004893629</t>
  </si>
  <si>
    <t>Jenni Super-Soft Long-Sleeve Sleep T Washed White M</t>
  </si>
  <si>
    <t>Jenni Animal Stripe Sleep Top Deep Black XXL</t>
  </si>
  <si>
    <t>733002043286</t>
  </si>
  <si>
    <t>Jenni Sweatshirt Sailors Delight S</t>
  </si>
  <si>
    <t>733002043309</t>
  </si>
  <si>
    <t>Jenni Sweatshirt Sailors Delight L</t>
  </si>
  <si>
    <t>733002043293</t>
  </si>
  <si>
    <t>Jenni Sweatshirt Sailors Delight M</t>
  </si>
  <si>
    <t>733002043279</t>
  </si>
  <si>
    <t>Jenni Sweatshirt Sailors Delight XS</t>
  </si>
  <si>
    <t>733003867065</t>
  </si>
  <si>
    <t>Jenni Sweatshirt Pink Fun XXL</t>
  </si>
  <si>
    <t>100123032MS</t>
  </si>
  <si>
    <t>733002043750</t>
  </si>
  <si>
    <t>Jenni Sweatshirt Pink Fun L</t>
  </si>
  <si>
    <t>733002043743</t>
  </si>
  <si>
    <t>Jenni Sweatshirt Pink Fun M</t>
  </si>
  <si>
    <t>733002043774</t>
  </si>
  <si>
    <t>Jenni Sweatshirt Pink Fun XL</t>
  </si>
  <si>
    <t>733002043729</t>
  </si>
  <si>
    <t>Jenni Sweatshirt Pink Fun S</t>
  </si>
  <si>
    <t>733002043705</t>
  </si>
  <si>
    <t>Jenni Sweatshirt Pink Fun XS</t>
  </si>
  <si>
    <t>733003869243</t>
  </si>
  <si>
    <t>Jenni Ribbed Sleep Tank Top First Lilac S</t>
  </si>
  <si>
    <t>716273714178</t>
  </si>
  <si>
    <t>DKNY Hoodie Pajama Set Black M</t>
  </si>
  <si>
    <t>Y2922487</t>
  </si>
  <si>
    <t>716273714185</t>
  </si>
  <si>
    <t>DKNY Hoodie Pajama Set Black L</t>
  </si>
  <si>
    <t>716273714277</t>
  </si>
  <si>
    <t>DKNY Cardigan Pajama Set Dark Heather Grey XL</t>
  </si>
  <si>
    <t>716273711368</t>
  </si>
  <si>
    <t>DKNY Embroidered Top Jogger Pants Oatmeal S</t>
  </si>
  <si>
    <t>Y2919259</t>
  </si>
  <si>
    <t>716273330705</t>
  </si>
  <si>
    <t>DKNY Embroidered Top Jogger Pants Navy M</t>
  </si>
  <si>
    <t>COTTON/VISCOSE</t>
  </si>
  <si>
    <t>26718814135</t>
  </si>
  <si>
    <t>Roudelain Tie-Dyed Hoodie Jogger Pants Fungi Tie Dye M</t>
  </si>
  <si>
    <t>EBJE042M</t>
  </si>
  <si>
    <t>26718814630</t>
  </si>
  <si>
    <t>Roudelain rop shoulder hoodie and slim l Star Bright Stars Soft Silver XL</t>
  </si>
  <si>
    <t>26718814579</t>
  </si>
  <si>
    <t>Roudelain rop shoulder hoodie and slim l Malachite Green Heather M</t>
  </si>
  <si>
    <t>26718814548</t>
  </si>
  <si>
    <t>Roudelain rop shoulder hoodie and slim l Animal Blurred Soft Silver Nh S</t>
  </si>
  <si>
    <t>26718880024</t>
  </si>
  <si>
    <t>Roudelain Fuzzy Luxe Pajama Set Zebra Camo White L</t>
  </si>
  <si>
    <t>26718880048</t>
  </si>
  <si>
    <t>Roudelain Fuzzy Luxe Pajama Set Zebra Camo White S</t>
  </si>
  <si>
    <t>26718880031</t>
  </si>
  <si>
    <t>Roudelain Fuzzy Luxe Pajama Set Zebra Camo White M</t>
  </si>
  <si>
    <t>26718879820</t>
  </si>
  <si>
    <t>Roudelain Long Sleeve Top Leggings Paj Magazine Stripe Crimsonwhite L</t>
  </si>
  <si>
    <t>26718814814</t>
  </si>
  <si>
    <t>Roudelain Henley Top and Jogger Set Delicate Tie Dye White M</t>
  </si>
  <si>
    <t>889835321685</t>
  </si>
  <si>
    <t>Muk Luks Faux-Fur Top Plush Jogger Pa Grey Dancing S</t>
  </si>
  <si>
    <t>26718885661</t>
  </si>
  <si>
    <t>Roudelain Whisper Luxe Drop Shoulder Paj Echo Tie Dyecloud Dancer Sd S</t>
  </si>
  <si>
    <t>26718885654</t>
  </si>
  <si>
    <t>Roudelain Whisper Luxe Drop Shoulder Paj Echo Tie Dyecloud Dancer Sd M</t>
  </si>
  <si>
    <t>26718885678</t>
  </si>
  <si>
    <t>Roudelain Whisper Luxe Drop Shoulder Paj Echo Tie Dyecloud Dancer Sd XL</t>
  </si>
  <si>
    <t>888172748810</t>
  </si>
  <si>
    <t>Hue Frost Tree Classic Pajama Pant Cupid M</t>
  </si>
  <si>
    <t>26718884961</t>
  </si>
  <si>
    <t>Roudelain Cashmere Luxe Long-Sleeve Paja Parchment Solidabove Leopard S</t>
  </si>
  <si>
    <t>26718861771</t>
  </si>
  <si>
    <t>Roudelain Printed Lush Luxe Jogger Pants Lucky Stars Black Lsb XL</t>
  </si>
  <si>
    <t>EBJE347Z</t>
  </si>
  <si>
    <t>889835318340</t>
  </si>
  <si>
    <t>Muk Luks Printed Hacci Pajamas Sleep Vine M</t>
  </si>
  <si>
    <t>26718942265</t>
  </si>
  <si>
    <t>Jaclyn Intimates Printed Faux Henley Top Jogg Above Leopard Gray L</t>
  </si>
  <si>
    <t>26718797346</t>
  </si>
  <si>
    <t>Roudelain Printed T-Shirt Shorts Pajam True Stripe Lil M</t>
  </si>
  <si>
    <t>EBJE005Z</t>
  </si>
  <si>
    <t>26718797339</t>
  </si>
  <si>
    <t>Roudelain Printed T-Shirt Shorts Pajam True Stripe Lil L</t>
  </si>
  <si>
    <t>26718942333</t>
  </si>
  <si>
    <t>Jaclyn Intimates Printed Faux Henley Top Jogg Marshmellow Penguins Powder Bl XL</t>
  </si>
  <si>
    <t>26718942272</t>
  </si>
  <si>
    <t>Jaclyn Intimates Printed Faux Henley Top Jogg Above Leopard Gray M</t>
  </si>
  <si>
    <t>26718831293</t>
  </si>
  <si>
    <t>Jaclyn Intimates Printed Faux Henley Top Jogg Big Kitty Ebony Slate M</t>
  </si>
  <si>
    <t>26718942074</t>
  </si>
  <si>
    <t>Jaclyn Intimates Printed Faux Henley Top Jogg Colorful Candy Canes Peacoat M</t>
  </si>
  <si>
    <t>26718942081</t>
  </si>
  <si>
    <t>Jaclyn Intimates Printed Faux Henley Top Jogg Colorful Candy Canes Peacoat S</t>
  </si>
  <si>
    <t>26718942227</t>
  </si>
  <si>
    <t>Jaclyn Intimates Printed Faux Henley Top Jogg Glance Plaid Blackcrimson L</t>
  </si>
  <si>
    <t>26718942234</t>
  </si>
  <si>
    <t>Jaclyn Intimates Printed Faux Henley Top Jogg Glance Plaid Blackcrimson M</t>
  </si>
  <si>
    <t>26718942241</t>
  </si>
  <si>
    <t>Jaclyn Intimates Printed Faux Henley Top Jogg Glance Plaid Blackcrimson S</t>
  </si>
  <si>
    <t>26718942258</t>
  </si>
  <si>
    <t>Jaclyn Intimates Printed Faux Henley Top Jogg Glance Plaid Blackcrimson XL</t>
  </si>
  <si>
    <t>26718942302</t>
  </si>
  <si>
    <t>Jaclyn Intimates Printed Faux Henley Top Jogg Marshmellow Penguins Powder Bl L</t>
  </si>
  <si>
    <t>26718942326</t>
  </si>
  <si>
    <t>Jaclyn Intimates Printed Faux Henley Top Jogg Marshmellow Penguins Powder Bl S</t>
  </si>
  <si>
    <t>26718942319</t>
  </si>
  <si>
    <t>Jaclyn Intimates Printed Faux Henley Top Jogg Marshmellow Penguins Powder Bl M</t>
  </si>
  <si>
    <t>26718942289</t>
  </si>
  <si>
    <t>Jaclyn Intimates Printed Faux Henley Top Jogg Above Leopard Gray S</t>
  </si>
  <si>
    <t>26718942296</t>
  </si>
  <si>
    <t>Jaclyn Intimates Printed Faux Henley Top Jogg Above Leopard Gray XL</t>
  </si>
  <si>
    <t>26718942159</t>
  </si>
  <si>
    <t>Jaclyn Intimates Printed Faux Henley Top Jogg Tiffany Floral Heather Grey M</t>
  </si>
  <si>
    <t>26718942166</t>
  </si>
  <si>
    <t>Jaclyn Intimates Printed Faux Henley Top Jogg Tiffany Floral Heather Grey S</t>
  </si>
  <si>
    <t>26718942173</t>
  </si>
  <si>
    <t>Jaclyn Intimates Printed Faux Henley Top Jogg Tiffany Floral Heather Grey XL</t>
  </si>
  <si>
    <t>26718942142</t>
  </si>
  <si>
    <t>Jaclyn Intimates Printed Faux Henley Top Jogg Tiffany Floral Heather Grey L</t>
  </si>
  <si>
    <t>26718881144</t>
  </si>
  <si>
    <t>Jaclyn Intimates Printed Notch-Collar Top Pan Snow In Love Penguins White L</t>
  </si>
  <si>
    <t>EBJE330Z</t>
  </si>
  <si>
    <t>26718831309</t>
  </si>
  <si>
    <t>Jaclyn Intimates Printed Faux Henley Top Jogg Big Kitty Ebony Slate S</t>
  </si>
  <si>
    <t>26718942067</t>
  </si>
  <si>
    <t>Jaclyn Intimates Printed Faux Henley Top Jogg Colorful Candy Canes Peacoat L</t>
  </si>
  <si>
    <t>26718798633</t>
  </si>
  <si>
    <t>Roudelain 2-Pk. Sleep Shorts Daydream Tie Dye Therese Stri L</t>
  </si>
  <si>
    <t>Roudelain Whisperluxe Printed Jogger Paj Bullseye Tie Dy L</t>
  </si>
  <si>
    <t>26718835253</t>
  </si>
  <si>
    <t>Jaclyn Intimates Super-Soft Short Sleeve Sleep Daydream Tie Dye White L</t>
  </si>
  <si>
    <t>733004015762</t>
  </si>
  <si>
    <t>INC International Concepts Solid Lace Cup Bodysuit Ballet Pink M</t>
  </si>
  <si>
    <t>733003403522</t>
  </si>
  <si>
    <t>Jenni Womens Whimsy Dot Bikini 1001 Multi Plaid XXL</t>
  </si>
  <si>
    <t>733002862481</t>
  </si>
  <si>
    <t>Jenni Cotton Lace Trim Hipster Multi Stripe XXXL</t>
  </si>
  <si>
    <t>733002862467</t>
  </si>
  <si>
    <t>Jenni Cotton Lace Trim Hipster Multi Stripe XL</t>
  </si>
  <si>
    <t>194490195800</t>
  </si>
  <si>
    <t>Jockey Luxe Lounge Sleep T-Shirt Inkwell S</t>
  </si>
  <si>
    <t>733003829971</t>
  </si>
  <si>
    <t>Alfani French Terry Lounge Pajama Set Garnet Stone XS</t>
  </si>
  <si>
    <t>733003829896</t>
  </si>
  <si>
    <t>Alfani French Terry Lounge Pajama Set Black XXL</t>
  </si>
  <si>
    <t>Alfani French Terry Lounge Pajama Set Garnet Stone XXL</t>
  </si>
  <si>
    <t>Alfani Ribbed Pajama Set Hthr Grain M</t>
  </si>
  <si>
    <t>733002041916</t>
  </si>
  <si>
    <t>Alfani Leggings Classic Black M</t>
  </si>
  <si>
    <t>733002166398</t>
  </si>
  <si>
    <t>Alfani Notched Collar Pajamas Set Heather Charcoal XL</t>
  </si>
  <si>
    <t>100121030MS</t>
  </si>
  <si>
    <t>733002042104</t>
  </si>
  <si>
    <t>Alfani Biker Shorts Classic Black XL</t>
  </si>
  <si>
    <t>733002042081</t>
  </si>
  <si>
    <t>Alfani Biker Shorts Classic Black M</t>
  </si>
  <si>
    <t>733002042166</t>
  </si>
  <si>
    <t>Alfani Deep V-Neck Bodysuit Classic Black XL</t>
  </si>
  <si>
    <t>733002042159</t>
  </si>
  <si>
    <t>Alfani Deep V-Neck Bodysuit Classic Black L</t>
  </si>
  <si>
    <t>733002041817</t>
  </si>
  <si>
    <t>Alfani Tank Top Crystal Pink XL</t>
  </si>
  <si>
    <t>733004756849</t>
  </si>
  <si>
    <t>Alfani Super Soft Modal Basic Jogger Garnet Stone S</t>
  </si>
  <si>
    <t>733004756856</t>
  </si>
  <si>
    <t>Alfani Super Soft Modal Basic Jogger Garnet Stone M</t>
  </si>
  <si>
    <t>733004756832</t>
  </si>
  <si>
    <t>Alfani Super Soft Modal Basic Jogger Garnet Stone XS</t>
  </si>
  <si>
    <t>733004168505</t>
  </si>
  <si>
    <t>Alfani Lounge Wrap Night Shadow XL</t>
  </si>
  <si>
    <t>733002538782</t>
  </si>
  <si>
    <t>Alfani Lounge Shorts Set Aqua Reef XS</t>
  </si>
  <si>
    <t>733002538805</t>
  </si>
  <si>
    <t>Alfani Lounge Shorts Set Aqua Reef M</t>
  </si>
  <si>
    <t>733002987146</t>
  </si>
  <si>
    <t>Alfani T-Shirt Shorts Pajama Set Black S</t>
  </si>
  <si>
    <t>733002987160</t>
  </si>
  <si>
    <t>Alfani T-Shirt Shorts Pajama Set Black L</t>
  </si>
  <si>
    <t>733002538379</t>
  </si>
  <si>
    <t>Alfani Piping Trim Tank Shorts Paja Geo S</t>
  </si>
  <si>
    <t>733002668779</t>
  </si>
  <si>
    <t>Alfani Piping Trim Tank Shorts Paja Multi Tropical M</t>
  </si>
  <si>
    <t>100125877MS</t>
  </si>
  <si>
    <t>733004095245</t>
  </si>
  <si>
    <t>Alfani Leggings Gray Rose XS</t>
  </si>
  <si>
    <t>733002058792</t>
  </si>
  <si>
    <t>Alfani Drawstring Jogger Pants Heather Grey XXL</t>
  </si>
  <si>
    <t>100121791MS</t>
  </si>
  <si>
    <t>733004096983</t>
  </si>
  <si>
    <t>Alfani Long T-Shirt Nightgown Hy Grey Hthr S</t>
  </si>
  <si>
    <t>733002057580</t>
  </si>
  <si>
    <t>Alfani Drawstring Jogger Pants Grey Texture XXL</t>
  </si>
  <si>
    <t>100121793MS</t>
  </si>
  <si>
    <t>733003488857</t>
  </si>
  <si>
    <t>Alfani Hacci Lounge Hoodie Charcoal Grey M</t>
  </si>
  <si>
    <t>733002634033</t>
  </si>
  <si>
    <t>Alfani Printed Knit Jogger Pajamas Pa Geo XL</t>
  </si>
  <si>
    <t>100121087MS</t>
  </si>
  <si>
    <t>733003181468</t>
  </si>
  <si>
    <t>Alfani Long T-Shirt Nightgown Bridal Rose XL</t>
  </si>
  <si>
    <t>733003011932</t>
  </si>
  <si>
    <t>Alfani Printed Knit Jogger Pajamas Pa Blue Geo XS</t>
  </si>
  <si>
    <t>733003832155</t>
  </si>
  <si>
    <t>Alfani Essential Jogger Pajama Pants Animal Dot XXL</t>
  </si>
  <si>
    <t>733003831929</t>
  </si>
  <si>
    <t>Alfani Essential Jogger Pajama Pants Wispy Floral XL</t>
  </si>
  <si>
    <t>733003831905</t>
  </si>
  <si>
    <t>Alfani Essential Jogger Pajama Pants Wispy Floral M</t>
  </si>
  <si>
    <t>733002634095</t>
  </si>
  <si>
    <t>Alfani Printed Knit Jogger Pajamas Pa Multi Tropical XL</t>
  </si>
  <si>
    <t>100121088MS</t>
  </si>
  <si>
    <t>733002986989</t>
  </si>
  <si>
    <t>Alfani V-Neck Chemise Nightgown Tie Dye Stripe L</t>
  </si>
  <si>
    <t>733002539048</t>
  </si>
  <si>
    <t>Alfani V-Neck Chemise Nightgown Tile M</t>
  </si>
  <si>
    <t>100121095MS</t>
  </si>
  <si>
    <t>733002539031</t>
  </si>
  <si>
    <t>Alfani V-Neck Chemise Nightgown Tile S</t>
  </si>
  <si>
    <t>733003831844</t>
  </si>
  <si>
    <t>Alfani Long-Sleeve Pocket Sleep T-Shi Night Shadow M</t>
  </si>
  <si>
    <t>733002538874</t>
  </si>
  <si>
    <t>Alfani V-Neck Chemise Nightgown Greenblue Slate L</t>
  </si>
  <si>
    <t>42714300748</t>
  </si>
  <si>
    <t>Playtex Perfectly Smooth Underwire Bra Nude Stripe- Nude 01 40C</t>
  </si>
  <si>
    <t>617914664046</t>
  </si>
  <si>
    <t>Playtex Secrets Side Smoothing Embroid Black and Warm Steel 38DDD</t>
  </si>
  <si>
    <t>42714286240</t>
  </si>
  <si>
    <t>Playtex Signature Florals Underwire Br Natural Beige- Nude 01 38DD</t>
  </si>
  <si>
    <t>78715515058</t>
  </si>
  <si>
    <t>Lilyette Lilyette by Bali Keyhole Minim Ivory Jacquard- Nude 01 36DD</t>
  </si>
  <si>
    <t>LILYETTE/HANESBRANDS INC</t>
  </si>
  <si>
    <t>90563621002</t>
  </si>
  <si>
    <t>Bali Double Support Front-Close Emb Black 34DD</t>
  </si>
  <si>
    <t>90563651818</t>
  </si>
  <si>
    <t>Hanes 2-Pk. Ultimate Comfy Support W White and Nude XXXL</t>
  </si>
  <si>
    <t>DHHUT1</t>
  </si>
  <si>
    <t>HANES/HANESBRANDS INC</t>
  </si>
  <si>
    <t>733002825714</t>
  </si>
  <si>
    <t>Charter Club Printed Pointelle Capri Pajama White Roses S</t>
  </si>
  <si>
    <t>100122786MS</t>
  </si>
  <si>
    <t>733001575078</t>
  </si>
  <si>
    <t>Charter Club Lace-Trim Top Printed Pants Lace Mesh M</t>
  </si>
  <si>
    <t>733003008659</t>
  </si>
  <si>
    <t>Charter Club Lace-Trim Printed Cropped Paja White Trop Floral L</t>
  </si>
  <si>
    <t>733002451388</t>
  </si>
  <si>
    <t>Charter Club Lace-Trim Pajamas Set Blossoms- Blue XL</t>
  </si>
  <si>
    <t>100116843MS</t>
  </si>
  <si>
    <t>733002037698</t>
  </si>
  <si>
    <t>Charter Club Printed Pleat-Front Pajamas Se Cherry BlossomGray L</t>
  </si>
  <si>
    <t>100116790MS</t>
  </si>
  <si>
    <t>733003010850</t>
  </si>
  <si>
    <t>Charter Club Lace-Trim Sleeveless Nightgown Vine Blooms S</t>
  </si>
  <si>
    <t>100103003MS</t>
  </si>
  <si>
    <t>733003010799</t>
  </si>
  <si>
    <t>Charter Club Lace-Trim Sleeveless Nightgown Water Lily S</t>
  </si>
  <si>
    <t>100103001MS</t>
  </si>
  <si>
    <t>733003871666</t>
  </si>
  <si>
    <t>Charter Club V-Neck T-Shirt Flannel Pants Holiday Plaid XL</t>
  </si>
  <si>
    <t>733004087370</t>
  </si>
  <si>
    <t>Charter Club Cotton Brushed Knit Printed Ni Foulard XS</t>
  </si>
  <si>
    <t>100127995MS</t>
  </si>
  <si>
    <t>733003874162</t>
  </si>
  <si>
    <t>Charter Club Cotton Pajama Set Tapestry Floral XXL</t>
  </si>
  <si>
    <t>733003873677</t>
  </si>
  <si>
    <t>Charter Club Cotton Pajama Set Holly Vine XS</t>
  </si>
  <si>
    <t>733003684624</t>
  </si>
  <si>
    <t>Charter Club Printed Cotton Knit Pajama Pan Multi Block Str XL</t>
  </si>
  <si>
    <t>733003969943</t>
  </si>
  <si>
    <t>Charter Club Ribbed Henley Pajama Top Candy Red XS</t>
  </si>
  <si>
    <t>733003970024</t>
  </si>
  <si>
    <t>Charter Club Ribbed Henley Pajama Top Chalky Rose M</t>
  </si>
  <si>
    <t>733002900183</t>
  </si>
  <si>
    <t>Charter Club Printed Cotton Capri Pajama Pa Plaid Floral XXL</t>
  </si>
  <si>
    <t>733002900121</t>
  </si>
  <si>
    <t>Charter Club Printed Cotton Capri Pajama Pa Large Blossoms XXL</t>
  </si>
  <si>
    <t>100121043MS</t>
  </si>
  <si>
    <t>733003685850</t>
  </si>
  <si>
    <t>Charter Club Printed Cotton Knit Pajama Pan Artistic Floral XXL</t>
  </si>
  <si>
    <t>100131397MS</t>
  </si>
  <si>
    <t>733003684563</t>
  </si>
  <si>
    <t>Charter Club Printed Cotton Knit Pajama Pan Paisley Flowers XL</t>
  </si>
  <si>
    <t>733002900077</t>
  </si>
  <si>
    <t>Charter Club Printed Cotton Capri Pajama Pa Large Blossoms XS</t>
  </si>
  <si>
    <t>733002416295</t>
  </si>
  <si>
    <t>Charter Club Cotton Solid Henley Printed Amore XL</t>
  </si>
  <si>
    <t>100116848MS</t>
  </si>
  <si>
    <t>733002416271</t>
  </si>
  <si>
    <t>Charter Club Cotton Solid Henley Printed Amore M</t>
  </si>
  <si>
    <t>733003436537</t>
  </si>
  <si>
    <t>Charter Club Crochet-Trim Nightgown Multi Stripe XS</t>
  </si>
  <si>
    <t>100131342MS</t>
  </si>
  <si>
    <t>733003806828</t>
  </si>
  <si>
    <t>Charter Club Cotton Flannel Plaid Pajama Pa Plaid XXL</t>
  </si>
  <si>
    <t>100132005MS</t>
  </si>
  <si>
    <t>733004108402</t>
  </si>
  <si>
    <t>Charter Club Soft Knit Sleep Shirt Stars - Blue S</t>
  </si>
  <si>
    <t>100128034MS</t>
  </si>
  <si>
    <t>733003684457</t>
  </si>
  <si>
    <t>Charter Club V-Neck Sleep T-Shirt Washed Lavender XXL</t>
  </si>
  <si>
    <t>100116801MS</t>
  </si>
  <si>
    <t>733003684440</t>
  </si>
  <si>
    <t>Charter Club V-Neck Sleep T-Shirt Washed Lavender XL</t>
  </si>
  <si>
    <t>790812827543</t>
  </si>
  <si>
    <t>Calvin Klein Wide-Ribbed Knit Ease Robe Black ML</t>
  </si>
  <si>
    <t>M-T</t>
  </si>
  <si>
    <t>790812595473</t>
  </si>
  <si>
    <t>Calvin Klein Satin-Trim Wrap Robe Pearly Pink XSS</t>
  </si>
  <si>
    <t>QS6529</t>
  </si>
  <si>
    <t>790812551677</t>
  </si>
  <si>
    <t>Calvin Klein Pure Lounge Jogger Pants Grey Heather S</t>
  </si>
  <si>
    <t>790812551684</t>
  </si>
  <si>
    <t>Calvin Klein Pure Lounge Jogger Pants Grey Heather M</t>
  </si>
  <si>
    <t>790812551707</t>
  </si>
  <si>
    <t>Calvin Klein Pure Lounge Jogger Pants Grey Heather XL</t>
  </si>
  <si>
    <t>790812551622</t>
  </si>
  <si>
    <t>Calvin Klein Pure Lounge Jogger Pants Snow Heather S</t>
  </si>
  <si>
    <t>790812551646</t>
  </si>
  <si>
    <t>Calvin Klein Pure Lounge Jogger Pants Snow Heather L</t>
  </si>
  <si>
    <t>790812068373</t>
  </si>
  <si>
    <t>Calvin Klein One Plus Size French Terry Sle Grey Heather 3X</t>
  </si>
  <si>
    <t>COTTON/POLYESTER/LYCRA® SPANDEX</t>
  </si>
  <si>
    <t>790812693384</t>
  </si>
  <si>
    <t>Calvin Klein Liquid Touch Lightly Lined Bra Precious Pink 36B</t>
  </si>
  <si>
    <t>QF5681</t>
  </si>
  <si>
    <t>790812827277</t>
  </si>
  <si>
    <t>Calvin Klein Pure Ribbed Leggings Barely Pink XL</t>
  </si>
  <si>
    <t>790812577011</t>
  </si>
  <si>
    <t>Calvin Klein Pure Ribbed Leggings Lilac Rain M</t>
  </si>
  <si>
    <t>790812577004</t>
  </si>
  <si>
    <t>Calvin Klein Pure Ribbed Leggings Lilac Rain S</t>
  </si>
  <si>
    <t>790812577035</t>
  </si>
  <si>
    <t>Calvin Klein Pure Ribbed Leggings Lilac Rain XL</t>
  </si>
  <si>
    <t>790812827444</t>
  </si>
  <si>
    <t>Calvin Klein Ease Jogger Grey Heather S</t>
  </si>
  <si>
    <t>790812827413</t>
  </si>
  <si>
    <t>Calvin Klein Ease Jogger Black L</t>
  </si>
  <si>
    <t>Calvin Klein Pure Ribbed Leggings Lilac Rain L</t>
  </si>
  <si>
    <t>11531902800</t>
  </si>
  <si>
    <t>Calvin Klein Womens Customized Lift Demi B Black 34D</t>
  </si>
  <si>
    <t>QF5836</t>
  </si>
  <si>
    <t>790812820261</t>
  </si>
  <si>
    <t>Calvin Klein V-Neck Bralette QT0002 Topaz M</t>
  </si>
  <si>
    <t>608279189428</t>
  </si>
  <si>
    <t>Calvin Klein Invisibles T-Shirt Bra QF1184 Black 36B</t>
  </si>
  <si>
    <t>11531347212</t>
  </si>
  <si>
    <t>Calvin Klein V-Neck Bralette QT0002 Josephine Nude 4 S</t>
  </si>
  <si>
    <t>608279195177</t>
  </si>
  <si>
    <t>Calvin Klein Invisibles T-Shirt Bra QF1184 Bare- Nude 01 34DD</t>
  </si>
  <si>
    <t>11531896208</t>
  </si>
  <si>
    <t>Calvin Klein Womens Invisibles Wirefree Un Bare XS</t>
  </si>
  <si>
    <t>790812874998</t>
  </si>
  <si>
    <t>Calvin Klein CK One Basic Lounge Terry Legg Ashford Grey L</t>
  </si>
  <si>
    <t>Calvin Klein CK One Basic Lounge Terry Legg Ashford Grey M</t>
  </si>
  <si>
    <t>790812700082</t>
  </si>
  <si>
    <t>Calvin Klein Plush Lounge Tank Blue Shadow M</t>
  </si>
  <si>
    <t>790812743867</t>
  </si>
  <si>
    <t>Calvin Klein Cami Shorts Sleep Set Prism Stripewhite M</t>
  </si>
  <si>
    <t>790812856383</t>
  </si>
  <si>
    <t>Calvin Klein Womens CK One Cotton Unlined Outline Star Print_black M</t>
  </si>
  <si>
    <t>790812819227</t>
  </si>
  <si>
    <t>Calvin Klein Seductive Comfort Lace-Waist B Barely Pink S</t>
  </si>
  <si>
    <t>608926737736</t>
  </si>
  <si>
    <t>Calvin Klein Womens Plus Size CK One Cotto Black 3X</t>
  </si>
  <si>
    <t>QF6019</t>
  </si>
  <si>
    <t>COTTON/MODAL/ELASTANE; GUSSET LINING: COTTON; ELASTIC: NYLON/POLYESTER/ELASTANE</t>
  </si>
  <si>
    <t>790812858417</t>
  </si>
  <si>
    <t>Calvin Klein Womens Modern Cotton Graphic Mens Window Pane_black S</t>
  </si>
  <si>
    <t>790812565889</t>
  </si>
  <si>
    <t>Calvin Klein Womens CK One Cotton Bikini Q Logo Step Print_seashore Blue S</t>
  </si>
  <si>
    <t>QF5735</t>
  </si>
  <si>
    <t>790812565919</t>
  </si>
  <si>
    <t>Calvin Klein Womens CK One Cotton Bikini Q Logo Step Print_seashore Blue XL</t>
  </si>
  <si>
    <t>790812699874</t>
  </si>
  <si>
    <t>Calvin Klein Womens Structure Cotton Hipst Bleached Denim S</t>
  </si>
  <si>
    <t>790812697009</t>
  </si>
  <si>
    <t>Calvin Klein Womens Pure Ribbed Hipster Un Barely Pink XL</t>
  </si>
  <si>
    <t>790812853412</t>
  </si>
  <si>
    <t>Calvin Klein CK Form Bikini QD3644 Sunday Leopard_berry Wild XS</t>
  </si>
  <si>
    <t>Calvin Klein Striped-Waist Thong QD3670 Precious Pink M</t>
  </si>
  <si>
    <t>12214982744</t>
  </si>
  <si>
    <t>b.temptd Most Desired Thong 976171 Rose Smoke S</t>
  </si>
  <si>
    <t>719544850551</t>
  </si>
  <si>
    <t>b.temptd Womens One Size Future Founda Antler Nude 3 ONE SIZE</t>
  </si>
  <si>
    <t>195093018282</t>
  </si>
  <si>
    <t>Wacoal Embrace Floral-Lace Contour Br Quiet Shadeether 36C</t>
  </si>
  <si>
    <t>714370572554</t>
  </si>
  <si>
    <t>Flora by Flora Nikrooz Leslie Printed Velour Pajama S Green M</t>
  </si>
  <si>
    <t>714370572653</t>
  </si>
  <si>
    <t>Flora by Flora Nikrooz Leslie Printed Velour Pajama S Cream XL</t>
  </si>
  <si>
    <t>761321693042</t>
  </si>
  <si>
    <t>Linea Donatella Lace-Trim Long Charmeuse Satin Magenta LXL</t>
  </si>
  <si>
    <t>34X16</t>
  </si>
  <si>
    <t>714370573025</t>
  </si>
  <si>
    <t>Flora by Flora Nikrooz Colby Printed Pajama Set Navy M</t>
  </si>
  <si>
    <t>T90543</t>
  </si>
  <si>
    <t>714370571663</t>
  </si>
  <si>
    <t>Flora by Flora Nikrooz Tammy Notch Collar Top Pants Black S</t>
  </si>
  <si>
    <t>714370571601</t>
  </si>
  <si>
    <t>Flora by Flora Nikrooz Tammy Notch Collar Top Pants Grey L</t>
  </si>
  <si>
    <t>761321679473</t>
  </si>
  <si>
    <t>Midnight Bakery Womens Carmelita Animal Matte Cream M</t>
  </si>
  <si>
    <t>761321679435</t>
  </si>
  <si>
    <t>Midnight Bakery Womens Carmelita Animal Matte Cream ML</t>
  </si>
  <si>
    <t>CIT130</t>
  </si>
  <si>
    <t>714370483713</t>
  </si>
  <si>
    <t>Flora by Flora Nikrooz Flora by Flora Nikrooz Lexi 2p Black XL</t>
  </si>
  <si>
    <t>761321686921</t>
  </si>
  <si>
    <t>Linea Donatella Max Paisley Solid Charmeuse Sa Black S</t>
  </si>
  <si>
    <t>714370577122</t>
  </si>
  <si>
    <t>Flora by Flora Nikrooz Plus Size Floral-Print Sleep T Grey 1X</t>
  </si>
  <si>
    <t>T90555X</t>
  </si>
  <si>
    <t>714370574466</t>
  </si>
  <si>
    <t>Flora by Flora Nikrooz Jade Sleep T-Shirt Pink S</t>
  </si>
  <si>
    <t>714370519733</t>
  </si>
  <si>
    <t>Flora by Flora Nikrooz Phoebe Wrap Robe, Cami Tap S Phoebe M</t>
  </si>
  <si>
    <t>T90477</t>
  </si>
  <si>
    <t>714370483584</t>
  </si>
  <si>
    <t>Flora by Flora Nikrooz Flora by Flora Nikrooz Lexi Ca Black XL</t>
  </si>
  <si>
    <t>T90355</t>
  </si>
  <si>
    <t>761321205474</t>
  </si>
  <si>
    <t>Linea Donatella Satin Strappy-Back Cami Tap Navy L</t>
  </si>
  <si>
    <t>SHT040</t>
  </si>
  <si>
    <t>761321054843</t>
  </si>
  <si>
    <t>Linea Donatella Bride-Embroidered Boyfriend Sh WhitePink L</t>
  </si>
  <si>
    <t>714370520852</t>
  </si>
  <si>
    <t>Flora by Flora Nikrooz Lace-Trim Tank Top Pajama Set Avah S</t>
  </si>
  <si>
    <t>T90461</t>
  </si>
  <si>
    <t>733003636296</t>
  </si>
  <si>
    <t>Family Pajamas MENS XMAS TREES PJS Christmas Trees XXL</t>
  </si>
  <si>
    <t>XXLRG S/S</t>
  </si>
  <si>
    <t>733001203513</t>
  </si>
  <si>
    <t>Family Pajamas Cotton Plaid Flannel Pajamas S Oversized Tartan M</t>
  </si>
  <si>
    <t>732999719082</t>
  </si>
  <si>
    <t>Family Pajamas Stewart Plaid Cotton Pet Pajam Stewart Plaid S</t>
  </si>
  <si>
    <t>733002804016</t>
  </si>
  <si>
    <t>INC International Concepts Lace-Trimmed Knit Chemise Aqua Sky XS</t>
  </si>
  <si>
    <t>733002804108</t>
  </si>
  <si>
    <t>INC International Concepts Lace-Trimmed Knit Chemise Dutch Pink L</t>
  </si>
  <si>
    <t>733002701599</t>
  </si>
  <si>
    <t>INC International Concepts Lace-Back Printed Knit Chemise Wild Leo M</t>
  </si>
  <si>
    <t>100122038MS</t>
  </si>
  <si>
    <t>762120378864</t>
  </si>
  <si>
    <t>Jenni Long-Sleeve Velvet Pajama Set Black L</t>
  </si>
  <si>
    <t>766360834685</t>
  </si>
  <si>
    <t>Jenni Star-Print Pajama Set Black Stars M</t>
  </si>
  <si>
    <t>733002881994</t>
  </si>
  <si>
    <t>Jenni Tie-Dyed Pajama Set Blush Tie Dye XL</t>
  </si>
  <si>
    <t>733004894770</t>
  </si>
  <si>
    <t>Jenni Sleep Bodysuit Marble - Rose S</t>
  </si>
  <si>
    <t>100139856MS</t>
  </si>
  <si>
    <t>733004162084</t>
  </si>
  <si>
    <t>Jenni Tie Dyed Long Sleeve Top Sho Pinkyellow XS</t>
  </si>
  <si>
    <t>733004162282</t>
  </si>
  <si>
    <t>Jenni Tie-Dyed Tank Top Shorts Sle Navyred M</t>
  </si>
  <si>
    <t>100140727MS</t>
  </si>
  <si>
    <t>733003805159</t>
  </si>
  <si>
    <t>Jenni HOODED PJ TOP Bold Tiedye XXL</t>
  </si>
  <si>
    <t>Jenni HOODED PJ TOP Bold Tiedye M</t>
  </si>
  <si>
    <t>733003868246</t>
  </si>
  <si>
    <t>Jenni HOODED PJ TOP First Lilac M</t>
  </si>
  <si>
    <t>100131285MS</t>
  </si>
  <si>
    <t>733003868130</t>
  </si>
  <si>
    <t>Jenni HOODED PJ TOP Leopard L</t>
  </si>
  <si>
    <t>733003868123</t>
  </si>
  <si>
    <t>Jenni HOODED PJ TOP Leopard M</t>
  </si>
  <si>
    <t>733004893544</t>
  </si>
  <si>
    <t>Jenni Fuzzy Knit Sleep Pants Withered Rose XS</t>
  </si>
  <si>
    <t>733004893537</t>
  </si>
  <si>
    <t>Jenni Fuzzy Knit Sleep Pants Dusty Jade XXL</t>
  </si>
  <si>
    <t>733003006068</t>
  </si>
  <si>
    <t>Jenni Side-Stripe Sleep Top, Created Deep Black S</t>
  </si>
  <si>
    <t>100123017MS</t>
  </si>
  <si>
    <t>733001877790</t>
  </si>
  <si>
    <t>Jenni Twinning Super Soft Pajama Set Blue Stars M</t>
  </si>
  <si>
    <t>100116413MS</t>
  </si>
  <si>
    <t>733003805340</t>
  </si>
  <si>
    <t>Jenni Cotton Waffle Pajama Tunic Celestial M</t>
  </si>
  <si>
    <t>733004106194</t>
  </si>
  <si>
    <t>Jenni Packaged Pajama Set Wide Tiger XXL</t>
  </si>
  <si>
    <t>100127250MS</t>
  </si>
  <si>
    <t>733004105920</t>
  </si>
  <si>
    <t>Jenni Packaged Pajama Set Funky Leo XS</t>
  </si>
  <si>
    <t>100127270MS</t>
  </si>
  <si>
    <t>733004105821</t>
  </si>
  <si>
    <t>Jenni Packaged Pajama Set Wide Tiger XS</t>
  </si>
  <si>
    <t>733004105852</t>
  </si>
  <si>
    <t>Jenni Packaged Pajama Set Wide Tiger L</t>
  </si>
  <si>
    <t>733002366217</t>
  </si>
  <si>
    <t>Jenni Rib-Knit Sleep Top Lt Blue XL</t>
  </si>
  <si>
    <t>100126492MS</t>
  </si>
  <si>
    <t>733003868574</t>
  </si>
  <si>
    <t>Jenni Jogger Pajama Pants Celestial XS</t>
  </si>
  <si>
    <t>733003868581</t>
  </si>
  <si>
    <t>Jenni Jogger Pajama Pants Celestial S</t>
  </si>
  <si>
    <t>733003867034</t>
  </si>
  <si>
    <t>Jenni Sweatshirt Sailors Delight XXL</t>
  </si>
  <si>
    <t>733003869427</t>
  </si>
  <si>
    <t>Jenni Jogger Pajama Pants Sunny Lime S</t>
  </si>
  <si>
    <t>100137462MS</t>
  </si>
  <si>
    <t>733002043835</t>
  </si>
  <si>
    <t>Jenni Jogger Pajama Pants Pink Fun M</t>
  </si>
  <si>
    <t>100123049MS</t>
  </si>
  <si>
    <t>733002043361</t>
  </si>
  <si>
    <t>Jenni Sweatshirt Leopard XL</t>
  </si>
  <si>
    <t>732994871013</t>
  </si>
  <si>
    <t>Jenni Plus-Size Core Drawstring Paja Core Stripe 2X</t>
  </si>
  <si>
    <t>100050067WM</t>
  </si>
  <si>
    <t>733002136971</t>
  </si>
  <si>
    <t>Jenni Plus Size Boyfriend Sleep T-Sh Girls Night 2X</t>
  </si>
  <si>
    <t>100116868WN</t>
  </si>
  <si>
    <t>733004861246</t>
  </si>
  <si>
    <t>Jenni Solid Ribbed Tank Top Fuchsia L</t>
  </si>
  <si>
    <t>733004860430</t>
  </si>
  <si>
    <t>Jenni Solid Ribbed Tank Top Olive XL</t>
  </si>
  <si>
    <t>733004860232</t>
  </si>
  <si>
    <t>Jenni Solid Ribbed Tank Top Black M</t>
  </si>
  <si>
    <t>733004017971</t>
  </si>
  <si>
    <t>Jenni Printed Sleep Shirt Watercolor Anim XL</t>
  </si>
  <si>
    <t>733003440022</t>
  </si>
  <si>
    <t>Jenni Cotton Woven Plaid Pajama Pant Plaid XXL</t>
  </si>
  <si>
    <t>100131267MS</t>
  </si>
  <si>
    <t>733004105296</t>
  </si>
  <si>
    <t>Jenni Thermal Sleep Shirt Ltl Bit Naughty XL</t>
  </si>
  <si>
    <t>733003439231</t>
  </si>
  <si>
    <t>Jenni Super Soft Sleep Shirt Contrast Tiedye XS</t>
  </si>
  <si>
    <t>733003439415</t>
  </si>
  <si>
    <t>Jenni Super Soft Sleep Shirt Cali Pink Hthr XS</t>
  </si>
  <si>
    <t>733003439279</t>
  </si>
  <si>
    <t>Jenni Super Soft Sleep Shirt Contrast Tiedye XL</t>
  </si>
  <si>
    <t>733003439545</t>
  </si>
  <si>
    <t>Jenni Super Soft Sleep Shirt Animal XS</t>
  </si>
  <si>
    <t>733003863531</t>
  </si>
  <si>
    <t>Jenni Flannel Pajama Pants Soft Plaid L</t>
  </si>
  <si>
    <t>100127257MS</t>
  </si>
  <si>
    <t>733003438647</t>
  </si>
  <si>
    <t>Jenni Plus Size Ribbed Pajama Top Deep Black 3X</t>
  </si>
  <si>
    <t>100087843WN</t>
  </si>
  <si>
    <t>733003863661</t>
  </si>
  <si>
    <t>Jenni Printed Fleece Pajama Pants Lightening Bolt S</t>
  </si>
  <si>
    <t>100129793MS</t>
  </si>
  <si>
    <t>733003863340</t>
  </si>
  <si>
    <t>Jenni Solid Long-Sleeve Pajama Top Sleep Grey Hthr XL</t>
  </si>
  <si>
    <t>733004109805</t>
  </si>
  <si>
    <t>Jenni Solid Long-Sleeve Pajama Top Sleep Grey Hthr XXL</t>
  </si>
  <si>
    <t>733004109737</t>
  </si>
  <si>
    <t>Jenni Solid Long-Sleeve Pajama Top Deep Black XXL</t>
  </si>
  <si>
    <t>733003862978</t>
  </si>
  <si>
    <t>Jenni Solid Long-Sleeve Pajama Top Deep Black M</t>
  </si>
  <si>
    <t>733003862992</t>
  </si>
  <si>
    <t>Jenni Solid Long-Sleeve Pajama Top Deep Black XL</t>
  </si>
  <si>
    <t>733003863012</t>
  </si>
  <si>
    <t>Jenni Solid Long-Sleeve Pajama Top Angel White S</t>
  </si>
  <si>
    <t>733003863067</t>
  </si>
  <si>
    <t>Jenni Solid Long-Sleeve Pajama Top June Bug S</t>
  </si>
  <si>
    <t>732994870399</t>
  </si>
  <si>
    <t>Jenni Core Printed Short Sleeve Paja Pajamas All Day XXL</t>
  </si>
  <si>
    <t>733003439736</t>
  </si>
  <si>
    <t>Jenni Ribbed Pajama Top Cali Pink S</t>
  </si>
  <si>
    <t>733003439682</t>
  </si>
  <si>
    <t>Jenni Ribbed Pajama Top Celestial M</t>
  </si>
  <si>
    <t>733003439620</t>
  </si>
  <si>
    <t>Jenni Ribbed Pajama Top Deep Black M</t>
  </si>
  <si>
    <t>733003439798</t>
  </si>
  <si>
    <t>Jenni Ribbed Pajama Top Emblem Gold S</t>
  </si>
  <si>
    <t>733002064038</t>
  </si>
  <si>
    <t>Jenni Biker Shorts Sailors Delight XS</t>
  </si>
  <si>
    <t>732997670118</t>
  </si>
  <si>
    <t>Jenni Receive a FREE tote bag with Black ONE SIZE</t>
  </si>
  <si>
    <t>OSFA REG</t>
  </si>
  <si>
    <t>733003863944</t>
  </si>
  <si>
    <t>Jenni Cotton Flannel Pajama Shorts Plaid- Red XL</t>
  </si>
  <si>
    <t>841637140314</t>
  </si>
  <si>
    <t>Blooming Women by Angel Blooming Women by Angel 4 Piec Blue M</t>
  </si>
  <si>
    <t>4249Z-M</t>
  </si>
  <si>
    <t>769137790689</t>
  </si>
  <si>
    <t>Refinery29 Printed Notch-Collar Pajama Se Grey Print M</t>
  </si>
  <si>
    <t>716273397562</t>
  </si>
  <si>
    <t>DKNY Embroidered Top Jogger Pants Black M</t>
  </si>
  <si>
    <t>716273666767</t>
  </si>
  <si>
    <t>DKNY Printed Maxi Chemise Nightgown Blushpt L</t>
  </si>
  <si>
    <t>Honeydew Baby Fleece Hoodie Lounge Set Leopard L</t>
  </si>
  <si>
    <t>889945269495</t>
  </si>
  <si>
    <t>Honeydew Honeydew Dream Queen Fleece Lo Vixen S</t>
  </si>
  <si>
    <t>889945242917</t>
  </si>
  <si>
    <t>Honeydew Printed Pajamas Set Black Hearts L</t>
  </si>
  <si>
    <t>671478825107</t>
  </si>
  <si>
    <t>Insomniax Jogger Pajama Pants Oatmeal XL</t>
  </si>
  <si>
    <t>671478824865</t>
  </si>
  <si>
    <t>Insomniax Printed Long Sleeve Pajama Top Black S</t>
  </si>
  <si>
    <t>671478824643</t>
  </si>
  <si>
    <t>Insomniax Long Sleeve Pajama Top Blue XL</t>
  </si>
  <si>
    <t>671478824452</t>
  </si>
  <si>
    <t>Insomniax Long Sleeve Pajama Top Slate L</t>
  </si>
  <si>
    <t>671478817058</t>
  </si>
  <si>
    <t>Insomniax Butter Jersey Printed Jogger P Sage XL</t>
  </si>
  <si>
    <t>26718803146</t>
  </si>
  <si>
    <t>Roudelain Cardigan, Tank Top Jogger Pa Dark Gray M</t>
  </si>
  <si>
    <t>EBJE280M</t>
  </si>
  <si>
    <t>671478816839</t>
  </si>
  <si>
    <t>Insomniax Printed Open-Leg Pajama Pants Wine M</t>
  </si>
  <si>
    <t>671478824483</t>
  </si>
  <si>
    <t>Insomniax Long Sleeve Pajama Top Blue M</t>
  </si>
  <si>
    <t>671478816754</t>
  </si>
  <si>
    <t>Insomniax Jogger Pajama Pants Charcoal S</t>
  </si>
  <si>
    <t>Insomniax Printed Open-Leg Pajama Pants Cloud M</t>
  </si>
  <si>
    <t>671478824889</t>
  </si>
  <si>
    <t>Insomniax Printed Long Sleeve Pajama Top Light Blue S</t>
  </si>
  <si>
    <t>671478824896</t>
  </si>
  <si>
    <t>Insomniax Printed Long Sleeve Pajama Top Sky Blue S</t>
  </si>
  <si>
    <t>671478824858</t>
  </si>
  <si>
    <t>Insomniax Printed Long Sleeve Pajama Top Sky Blue M</t>
  </si>
  <si>
    <t>192703052599</t>
  </si>
  <si>
    <t>Felina Velvety Jogger Pajama Pants Charcoal Heather M</t>
  </si>
  <si>
    <t>671478799705</t>
  </si>
  <si>
    <t>Insomniax Peached Jersey Pajama Top Blue M</t>
  </si>
  <si>
    <t>888172750189</t>
  </si>
  <si>
    <t>Hue Penguin Puzzle Crewneck Top Alloy L</t>
  </si>
  <si>
    <t>192703065506</t>
  </si>
  <si>
    <t>Felina Naturally Soft Lounge Top Cloud S</t>
  </si>
  <si>
    <t>26718814616</t>
  </si>
  <si>
    <t>Roudelain rop shoulder hoodie and slim l Star Bright Stars Soft Silver M</t>
  </si>
  <si>
    <t>26718814623</t>
  </si>
  <si>
    <t>Roudelain rop shoulder hoodie and slim l Star Bright Stars Soft Silver S</t>
  </si>
  <si>
    <t>26718814661</t>
  </si>
  <si>
    <t>Roudelain rop shoulder hoodie and slim l Delicate Tie Dye White S</t>
  </si>
  <si>
    <t>26718814500</t>
  </si>
  <si>
    <t>Roudelain Foil-Star-Print Pajama Set Rose Tan S</t>
  </si>
  <si>
    <t>Roudelain Fuzzy Luxe Pajama Set Zodiac Leopard Crystal Gray XL</t>
  </si>
  <si>
    <t>26718814685</t>
  </si>
  <si>
    <t>Roudelain Henley Top and Jogger Set Animal Blurred Crystal Grey L</t>
  </si>
  <si>
    <t>889835297423</t>
  </si>
  <si>
    <t>Muk Luks Solid Top Printed Pants Paja Floral M</t>
  </si>
  <si>
    <t>M121620</t>
  </si>
  <si>
    <t>26718885432</t>
  </si>
  <si>
    <t>Roudelain Indoorsy Sweatshirt Jogger P Spacedye WhiteRainbow M</t>
  </si>
  <si>
    <t>889835321661</t>
  </si>
  <si>
    <t>Muk Luks Faux-Fur Top Plush Jogger Pa Light Blue Penguin L</t>
  </si>
  <si>
    <t>192703040596</t>
  </si>
  <si>
    <t>Felina Felina Womens Super Soft Brus Purple M</t>
  </si>
  <si>
    <t>192703060259</t>
  </si>
  <si>
    <t>Felina Taylor Boyfriend Sleep Sweatsh Light Gray XL</t>
  </si>
  <si>
    <t>889835296914</t>
  </si>
  <si>
    <t>Hanes Solid Top Printed Pants Paja Medallion L</t>
  </si>
  <si>
    <t>H121607</t>
  </si>
  <si>
    <t>192703040411</t>
  </si>
  <si>
    <t>192703060242</t>
  </si>
  <si>
    <t>Felina Taylor Boyfriend Sleep Sweatsh Light Gray L</t>
  </si>
  <si>
    <t>26718885616</t>
  </si>
  <si>
    <t>Roudelain Whisper Luxe Drop Shoulder Paj Leggy Starorchid Smoke M</t>
  </si>
  <si>
    <t>192703060082</t>
  </si>
  <si>
    <t>Felina Taylor Boyfriend Sleep Sweatsh GrayBlue Heather M</t>
  </si>
  <si>
    <t>92104617666</t>
  </si>
  <si>
    <t>Felina Felina Womens Super Soft Brus Navy L</t>
  </si>
  <si>
    <t>Felina Taylor Jogger Pajama Pants Gray S</t>
  </si>
  <si>
    <t>192703060587</t>
  </si>
  <si>
    <t>Felina Taylor Jogger Pajama Pants Light Gray M</t>
  </si>
  <si>
    <t>889835290714</t>
  </si>
  <si>
    <t>Muk Luks Printed Top Solid Jogger Paj Camo L</t>
  </si>
  <si>
    <t>889835318456</t>
  </si>
  <si>
    <t>Muk Luks Plus Size Printed Hacci Pajama Bear 2X</t>
  </si>
  <si>
    <t>M121602X</t>
  </si>
  <si>
    <t>86569322746</t>
  </si>
  <si>
    <t>INKIVY INKIVY Womens Swing Dress wi Indigo S</t>
  </si>
  <si>
    <t>671478800241</t>
  </si>
  <si>
    <t>Insomniax Peached Jersey Pajama Tank Top Taupe M</t>
  </si>
  <si>
    <t>Roudelain Whisper Luxe Short-Sleeve Top Flamingo Pink Spacedyetidal T M</t>
  </si>
  <si>
    <t>26718834751</t>
  </si>
  <si>
    <t>Jaclyn Intimates Printed Notch-Collar Top Pan Tie Dye XL</t>
  </si>
  <si>
    <t>26718834720</t>
  </si>
  <si>
    <t>Jaclyn Intimates Printed Notch-Collar Top Pan Tie Dye L</t>
  </si>
  <si>
    <t>671478800210</t>
  </si>
  <si>
    <t>Insomniax Peached Jersey Pajama Tank Top Pink M</t>
  </si>
  <si>
    <t>671478800234</t>
  </si>
  <si>
    <t>Insomniax Peached Jersey Pajama Tank Top Stone M</t>
  </si>
  <si>
    <t>889835308525</t>
  </si>
  <si>
    <t>Hanes Marshmallow-Knit Lounge Set Gray L</t>
  </si>
  <si>
    <t>H420608</t>
  </si>
  <si>
    <t>26718834744</t>
  </si>
  <si>
    <t>Jaclyn Intimates Printed Notch-Collar Top Pan Tie Dye S</t>
  </si>
  <si>
    <t>26718834737</t>
  </si>
  <si>
    <t>Jaclyn Intimates Printed Notch-Collar Top Pan Tie Dye M</t>
  </si>
  <si>
    <t>671478800258</t>
  </si>
  <si>
    <t>Insomniax Peached Jersey Pajama Tank Top Pink S</t>
  </si>
  <si>
    <t>26718885289</t>
  </si>
  <si>
    <t>Roudelain Whisper Luxe Short-Sleeve Top Samba Space Dyei Heart Wine B S</t>
  </si>
  <si>
    <t>26718885265</t>
  </si>
  <si>
    <t>Roudelain Whisper Luxe Short-Sleeve Top Samba Space Dyei Heart Wine B L</t>
  </si>
  <si>
    <t>888172749879</t>
  </si>
  <si>
    <t>Hue Frost Tree Classic Pajama Pant Shocking Pink XL</t>
  </si>
  <si>
    <t>26718871794</t>
  </si>
  <si>
    <t>Roudelain Jogger Pajama Bottoms, Set of True Stripe Crimsonspacedye H XL</t>
  </si>
  <si>
    <t>26718871848</t>
  </si>
  <si>
    <t>Roudelain Jogger Pajama Bottoms, Set of Crosswalk Plaid Crimsonspaced L</t>
  </si>
  <si>
    <t>26718871800</t>
  </si>
  <si>
    <t>Roudelain Jogger Pajama Bottoms, Set of Hole Punch Dotspacedye High R L</t>
  </si>
  <si>
    <t>26718872043</t>
  </si>
  <si>
    <t>Roudelain Jogger Pajama Bottoms, Set of Spacedye Raspberry Radianceki XL</t>
  </si>
  <si>
    <t>192703051653</t>
  </si>
  <si>
    <t>Felina Scoop Neck Sleep T-Shirt Slate XL</t>
  </si>
  <si>
    <t>192703051899</t>
  </si>
  <si>
    <t>Felina Sleep Shorts Pebble L</t>
  </si>
  <si>
    <t>26718789990</t>
  </si>
  <si>
    <t>Jaclyn Intimates Super-Soft Jogger Pants Pajama Tradewindsbiggest Star White M</t>
  </si>
  <si>
    <t>26718797353</t>
  </si>
  <si>
    <t>Roudelain Printed T-Shirt Shorts Pajam True Stripe Lil S</t>
  </si>
  <si>
    <t>26718797360</t>
  </si>
  <si>
    <t>Roudelain Printed T-Shirt Shorts Pajam True Stripe Lil XL</t>
  </si>
  <si>
    <t>Jaclyn Intimates Ultra soft for your ultimate c Varsity St XL</t>
  </si>
  <si>
    <t>889835288681</t>
  </si>
  <si>
    <t>Muk Luks Solid Top Printed Jogger Paj Fairisle XL</t>
  </si>
  <si>
    <t>26718798602</t>
  </si>
  <si>
    <t>Roudelain 2-Pk. Sleep Shorts Starception Tradewinds M</t>
  </si>
  <si>
    <t>26718798626</t>
  </si>
  <si>
    <t>Roudelain 2-Pk. Sleep Shorts Starception Tradewinds XL</t>
  </si>
  <si>
    <t>26718753502</t>
  </si>
  <si>
    <t>Roudelain Printed Tank Top Shorts Slee Star Spangled L</t>
  </si>
  <si>
    <t>Champion Sleep Muscle Tank Olive L</t>
  </si>
  <si>
    <t>26718798657</t>
  </si>
  <si>
    <t>Roudelain 2-Pk. Sleep Shorts Daydream Tie Dye Therese Stri S</t>
  </si>
  <si>
    <t>194959402685</t>
  </si>
  <si>
    <t>Champion Sleep Muscle Tank Olive M</t>
  </si>
  <si>
    <t>888172732741</t>
  </si>
  <si>
    <t>Hue Hue Womens Solid Short Sleeve Blue Horizon S</t>
  </si>
  <si>
    <t>PJ214200</t>
  </si>
  <si>
    <t>888172732758</t>
  </si>
  <si>
    <t>Hue Hue Womens Solid Short Sleeve Blue Horizon M</t>
  </si>
  <si>
    <t>26718886194</t>
  </si>
  <si>
    <t>Roudelain Big Girls Mommy Me Whisper L Cloudy Tie Dyewhitered L</t>
  </si>
  <si>
    <t>LRG</t>
  </si>
  <si>
    <t>Felina Denali Cozy Knit Leggings Black L</t>
  </si>
  <si>
    <t>192703066923</t>
  </si>
  <si>
    <t>Felina Denali Cozy Knit Leggings Black S</t>
  </si>
  <si>
    <t>194959404962</t>
  </si>
  <si>
    <t>Champion Sleep Boxer Shorts Pink XL</t>
  </si>
  <si>
    <t>Roudelain Whisperluxe Printed Jogger Paj Striped Zebra T M</t>
  </si>
  <si>
    <t>192703052773</t>
  </si>
  <si>
    <t>Felina Velvety Sleep Tank Top Black XL</t>
  </si>
  <si>
    <t>192703066138</t>
  </si>
  <si>
    <t>Felina Lassen Terry Sweatpants Clay M</t>
  </si>
  <si>
    <t>26718817709</t>
  </si>
  <si>
    <t>Jaclyn Intimates Yummy Jogger Pajama Pants Vintage Indigo XL</t>
  </si>
  <si>
    <t>26718817464</t>
  </si>
  <si>
    <t>Jaclyn Intimates Yummy Jogger Pajama Pants Black Print XL</t>
  </si>
  <si>
    <t>26718835260</t>
  </si>
  <si>
    <t>Jaclyn Intimates Super-Soft Short Sleeve Sleep Daydream Tie Dye White M</t>
  </si>
  <si>
    <t>26718835345</t>
  </si>
  <si>
    <t>Jaclyn Intimates Super-Soft Short Sleeve Sleep Sketchy Stars White M</t>
  </si>
  <si>
    <t>26718851383</t>
  </si>
  <si>
    <t>Jaclyn Intimates Whisper Luxe Lounge Jogger Pan Lightly Le M</t>
  </si>
  <si>
    <t>17326867576</t>
  </si>
  <si>
    <t>Bali Micro Diamond Brief 803J Black 89</t>
  </si>
  <si>
    <t>17326867552</t>
  </si>
  <si>
    <t>Bali Micro Diamond Brief 803J Black 1011</t>
  </si>
  <si>
    <t>733002845040</t>
  </si>
  <si>
    <t>INC International Concepts Womens Printed Lace-Cup Bodys Tropical Floral L</t>
  </si>
  <si>
    <t>733001242376</t>
  </si>
  <si>
    <t>INC International Concepts Sheer Lace Bodysuit Dark Merlot XXL</t>
  </si>
  <si>
    <t>733004015557</t>
  </si>
  <si>
    <t>INC International Concepts x Faux Snake Bodysuit S</t>
  </si>
  <si>
    <t>733004810503</t>
  </si>
  <si>
    <t>INC International Concepts Womens 3-Pk. Lace Thong Under Deep Black XL</t>
  </si>
  <si>
    <t>733002107094</t>
  </si>
  <si>
    <t>INC International Concepts Womens Lace Thong Underwear Turkish Tile XXL</t>
  </si>
  <si>
    <t>733002107292</t>
  </si>
  <si>
    <t>733003405939</t>
  </si>
  <si>
    <t>INC International Concepts Womens Lace Thong Underwear Purple Dynasty XXL</t>
  </si>
  <si>
    <t>733004044519</t>
  </si>
  <si>
    <t>Jenni Womens Lace-Trim Hipster Unde Multi Tiedye XXL</t>
  </si>
  <si>
    <t>733004947407</t>
  </si>
  <si>
    <t>Jenni Womens Lace-Trim Thong Underw Tossed Hearts S</t>
  </si>
  <si>
    <t>Jenni Womens Lace-Trim Thong Underw Tossed Hearts M</t>
  </si>
  <si>
    <t>733002293155</t>
  </si>
  <si>
    <t>Jenni Womens Wide-Lace-Waist Thong Chai XL</t>
  </si>
  <si>
    <t>733003403348</t>
  </si>
  <si>
    <t>Jenni Cotton Lace Trim Hipster PinkBlack Tiedye XXL</t>
  </si>
  <si>
    <t>733002048403</t>
  </si>
  <si>
    <t>Jenni Womens Solid Bikini 100110131 Coral Punch XL</t>
  </si>
  <si>
    <t>733003418410</t>
  </si>
  <si>
    <t>Charter Club Womens Cotton High-Cut Brief Montana Grape M</t>
  </si>
  <si>
    <t>733002048427</t>
  </si>
  <si>
    <t>Jenni Womens Solid Bikini 100110131 Coral Punch XXXL</t>
  </si>
  <si>
    <t>Jenni Womens Lace-Trim Thong Peachskin S</t>
  </si>
  <si>
    <t>843953240273</t>
  </si>
  <si>
    <t>SPANX Firm Control Thinstincts Targe Very Black M</t>
  </si>
  <si>
    <t>10004R</t>
  </si>
  <si>
    <t>SPANDEX/ELASTANE/NYLON; GUSSET: COTTON</t>
  </si>
  <si>
    <t>733003704643</t>
  </si>
  <si>
    <t>Jenni Crossover-Waist Leggings CelestialLegion Blue M</t>
  </si>
  <si>
    <t>TIGHTS</t>
  </si>
  <si>
    <t>733003704650</t>
  </si>
  <si>
    <t>Jenni Crossover-Waist Leggings CelestialLegion Blue L</t>
  </si>
  <si>
    <t>733003704629</t>
  </si>
  <si>
    <t>Jenni Crossover-Waist Leggings CelestialLegion Blue XS</t>
  </si>
  <si>
    <t>733003704674</t>
  </si>
  <si>
    <t>Jenni Crossover-Waist Leggings CelestialLegion Blue XXL</t>
  </si>
  <si>
    <t>733003704636</t>
  </si>
  <si>
    <t>Jenni Crossover-Waist Leggings CelestialLegion Blue S</t>
  </si>
  <si>
    <t>733003704681</t>
  </si>
  <si>
    <t>Jenni Crossover-Waist Leggings CelestialLegion Blue 3XL</t>
  </si>
  <si>
    <t>769137165111</t>
  </si>
  <si>
    <t>Lauren Ralph Lauren Striped Pajamas Set Grey Strp M</t>
  </si>
  <si>
    <t>LN92042</t>
  </si>
  <si>
    <t>809709957338</t>
  </si>
  <si>
    <t>Eileen West Eileen West Printed Cotton Nig Wht Aqua M</t>
  </si>
  <si>
    <t>769137694901</t>
  </si>
  <si>
    <t>Lauren Ralph Lauren Brushed Twill Notch-Collar Paj Pink Check XL</t>
  </si>
  <si>
    <t>769137681864</t>
  </si>
  <si>
    <t>Lauren Ralph Lauren Lauren Ralph Lauren Womens Kn Ivory, Red Small</t>
  </si>
  <si>
    <t>LN92123</t>
  </si>
  <si>
    <t>28266811703</t>
  </si>
  <si>
    <t>Miss Elaine Printed Notch Collar Pajama Se Blue Floral On Ivory M</t>
  </si>
  <si>
    <t>192910235013</t>
  </si>
  <si>
    <t>Munki Munki Star Wars Allergic to Mornings Black M</t>
  </si>
  <si>
    <t>M02455</t>
  </si>
  <si>
    <t>192910235037</t>
  </si>
  <si>
    <t>Munki Munki Star Wars Allergic to Mornings Black XL</t>
  </si>
  <si>
    <t>192910234740</t>
  </si>
  <si>
    <t>Munki Munki Snoopy Tie-Dyed Pajama Set Pink M</t>
  </si>
  <si>
    <t>M02460</t>
  </si>
  <si>
    <t>192910234573</t>
  </si>
  <si>
    <t>Munki Munki Snoopy Looking Good Pajama Set Teal L</t>
  </si>
  <si>
    <t>M02459</t>
  </si>
  <si>
    <t>192910240628</t>
  </si>
  <si>
    <t>Munki Munki Mean Girls Really Pretty Pajam Pink S</t>
  </si>
  <si>
    <t>RC00335</t>
  </si>
  <si>
    <t>192910240918</t>
  </si>
  <si>
    <t>Munki Munki Mean Girls Shorts Lounge Set Grey XS</t>
  </si>
  <si>
    <t>192910241250</t>
  </si>
  <si>
    <t>Munki Munki Star Wars Darth Vader Pajama S Grey S</t>
  </si>
  <si>
    <t>769137310511</t>
  </si>
  <si>
    <t>Cuddl Duds Lace-Trim Printed Chemise Nigh Multi Print M</t>
  </si>
  <si>
    <t>809709987946</t>
  </si>
  <si>
    <t>Disney Beauty The Beast T-Shirt J Lilac M</t>
  </si>
  <si>
    <t>M8900994BL</t>
  </si>
  <si>
    <t>769137404890</t>
  </si>
  <si>
    <t>Disney Disney Coffee Tank Top Sle Grey M</t>
  </si>
  <si>
    <t>M8901009DS</t>
  </si>
  <si>
    <t>769137404906</t>
  </si>
  <si>
    <t>Disney Disney Coffee Tank Top Sle Grey L</t>
  </si>
  <si>
    <t>769137405064</t>
  </si>
  <si>
    <t>Disney Mickey Friends Tank Top Sl Red L</t>
  </si>
  <si>
    <t>714147479802</t>
  </si>
  <si>
    <t>Briefly Stated Rudolph Pajama Set Asst M</t>
  </si>
  <si>
    <t>RD099XLLMA</t>
  </si>
  <si>
    <t>194490215386</t>
  </si>
  <si>
    <t>Jockey Cotton Sleep T-Shirt Fuschia M</t>
  </si>
  <si>
    <t>733004168444</t>
  </si>
  <si>
    <t>Alfani Lounge Wrap Classic Black XL</t>
  </si>
  <si>
    <t>100121090MS</t>
  </si>
  <si>
    <t>100128048MS</t>
  </si>
  <si>
    <t>100132719MS</t>
  </si>
  <si>
    <t>QF6366</t>
  </si>
  <si>
    <t>QF5981</t>
  </si>
  <si>
    <t>Wacoal Cooling Racerback Sleep Tank T White M</t>
  </si>
  <si>
    <t>Wacoal Cooling Racerback Sleep Tank T White S</t>
  </si>
  <si>
    <t>733003805111</t>
  </si>
  <si>
    <t>Jenni HOODED PJ TOP Bold Tiedye S</t>
  </si>
  <si>
    <t>733003805289</t>
  </si>
  <si>
    <t>Jenni Cotton Waffle Pajama Tunic Celestial XS</t>
  </si>
  <si>
    <t>100127273MS</t>
  </si>
  <si>
    <t>733003867140</t>
  </si>
  <si>
    <t>Jenni Solid Leggings Tonal Camo XS</t>
  </si>
  <si>
    <t>RF3311897</t>
  </si>
  <si>
    <t>769137489521</t>
  </si>
  <si>
    <t>Refinery29 PJ TOP - LS Black M</t>
  </si>
  <si>
    <t>889835318418</t>
  </si>
  <si>
    <t>Muk Luks Plus Size Printed Hacci Pajama Sloths 1X</t>
  </si>
  <si>
    <t>26718885852</t>
  </si>
  <si>
    <t>Roudelain 2-Pk. Sleep Shorts Daydream Hearts Sambahole Pun M</t>
  </si>
  <si>
    <t>26718791207</t>
  </si>
  <si>
    <t>Jaclyn Intimates Whisper Luxe Jogger Pajama Pan British Plaid L</t>
  </si>
  <si>
    <t>Jaclyn Intimates Whisper Luxe Jogger Pajama Pan Spotty Felix M</t>
  </si>
  <si>
    <t>733002845439</t>
  </si>
  <si>
    <t>INC International Concepts Womens Cheeky Lace Brief Unde Dutch Pink M</t>
  </si>
  <si>
    <t>80225420227</t>
  </si>
  <si>
    <t>Miraclesuit Extra Firm Control Sheer Under Nude- Nude 01 40C</t>
  </si>
  <si>
    <t>CD8712850</t>
  </si>
  <si>
    <t>733003867089</t>
  </si>
  <si>
    <t>Jenni Solid Leggings Tan Leopard XS</t>
  </si>
  <si>
    <t>769137788624</t>
  </si>
  <si>
    <t>Refinery29 Printed Henley Sleep Shirt S Grey Heather L</t>
  </si>
  <si>
    <t>769137788440</t>
  </si>
  <si>
    <t>Refinery29 Printed Henley Sleep Shirt S Navy L</t>
  </si>
  <si>
    <t>Refinery29 Printed Henley Sleep Shirt S Grey Heather M</t>
  </si>
  <si>
    <t>Felina Denali Cozy Knit Leggings Black M</t>
  </si>
  <si>
    <t>192703066442</t>
  </si>
  <si>
    <t>Felina Denali Cozy Knit Cardigan Black S</t>
  </si>
  <si>
    <t>192703066954</t>
  </si>
  <si>
    <t>Felina Denali Cozy Knit Leggings Black XL</t>
  </si>
  <si>
    <t>192703066800</t>
  </si>
  <si>
    <t>Felina Denali Cozy Knit Wrap Sweater Black S</t>
  </si>
  <si>
    <t>769137489347</t>
  </si>
  <si>
    <t>Refinery29 PJ TOP - LS Navy M</t>
  </si>
  <si>
    <t>192703055866</t>
  </si>
  <si>
    <t>Felina High-Waist Leggings Twilight Mauve XL</t>
  </si>
  <si>
    <t>889835341478</t>
  </si>
  <si>
    <t>Muk Luks Butter-Knit V-Neck Flare-Leg Pink Coffee S</t>
  </si>
  <si>
    <t>26718885708</t>
  </si>
  <si>
    <t>Roudelain 2-Pk. Sleep Shorts Heart Multiply Whitejabari Sp S</t>
  </si>
  <si>
    <t>26718885876</t>
  </si>
  <si>
    <t>Roudelain 2-Pk. Sleep Shorts Daydream Hearts Sambahole Pun XL</t>
  </si>
  <si>
    <t>26718886187</t>
  </si>
  <si>
    <t>Roudelain Big Girls Mommy Me Whisper L True Stripe High Rise XXS</t>
  </si>
  <si>
    <t>26718886170</t>
  </si>
  <si>
    <t>Roudelain Big Girls Mommy Me Whisper L True Stripe High Rise XS</t>
  </si>
  <si>
    <t>26718886156</t>
  </si>
  <si>
    <t>Roudelain Big Girls Mommy Me Whisper L True Stripe High Rise S</t>
  </si>
  <si>
    <t>SML</t>
  </si>
  <si>
    <t>26718803214</t>
  </si>
  <si>
    <t>Jaclyn Intimates Ribbed Jogger Pajama Pants Cozy Camo L</t>
  </si>
  <si>
    <t>26718848451</t>
  </si>
  <si>
    <t>Jaclyn Intimates Lush Luxe Tie-Dyed Jogger Paja Batik Blue M</t>
  </si>
  <si>
    <t>Jaclyn Intimates Yummy Jogger Pajama Pants Flintstone S</t>
  </si>
  <si>
    <t>26718803313</t>
  </si>
  <si>
    <t>Jaclyn Intimates Ribbed Jogger Pajama Pants Sweet Purple S</t>
  </si>
  <si>
    <t>26718791238</t>
  </si>
  <si>
    <t>Jaclyn Intimates Whisper Luxe Jogger Pajama Pan British Plaid XL</t>
  </si>
  <si>
    <t>26718848444</t>
  </si>
  <si>
    <t>Jaclyn Intimates Lush Luxe Tie-Dyed Jogger Paja Batik Blue L</t>
  </si>
  <si>
    <t>26718791283</t>
  </si>
  <si>
    <t>Jaclyn Intimates Whisper Luxe Jogger Pajama Pan Striped Grey L</t>
  </si>
  <si>
    <t>26718880079</t>
  </si>
  <si>
    <t>Roudelain Dog Yummy True Stripe Bandana True Stripe Tradewinds SM</t>
  </si>
  <si>
    <t>EAJK002M</t>
  </si>
  <si>
    <t>769137481730</t>
  </si>
  <si>
    <t>Cuddl Duds Printed Top Jogger Pants Paj Coal Multi L</t>
  </si>
  <si>
    <t>194490267699</t>
  </si>
  <si>
    <t>Jockey Luxe Lounge Sleep Jogger Pants Mild Grey Heather L</t>
  </si>
  <si>
    <t>194490331369</t>
  </si>
  <si>
    <t>Jockey Soft Essentials Long Sleeve Sl Horizon Blue Heather M</t>
  </si>
  <si>
    <t>194490331376</t>
  </si>
  <si>
    <t>Jockey Soft Essentials Long Sleeve Sl Horizon Blue Heather L</t>
  </si>
  <si>
    <t>192703067029</t>
  </si>
  <si>
    <t>Felina Denali Cozy Knit Leggings Tan L</t>
  </si>
  <si>
    <t>888172751940</t>
  </si>
  <si>
    <t>Hue Womens Ribbed Henley Pajama S Sleet Small</t>
  </si>
  <si>
    <t>733004250859</t>
  </si>
  <si>
    <t>Alfani Soft Long-Sleeve Sleep Top Night Shadow XXL</t>
  </si>
  <si>
    <t>733004250811</t>
  </si>
  <si>
    <t>Alfani Soft Long-Sleeve Sleep Top Night Shadow S</t>
  </si>
  <si>
    <t>733004095283</t>
  </si>
  <si>
    <t>Alfani Leggings Gray Rose XL</t>
  </si>
  <si>
    <t>192503155629</t>
  </si>
  <si>
    <t>Bali Comfort Revolution ComfortFlex Nude Heather Nude 5 XL</t>
  </si>
  <si>
    <t>738994248343</t>
  </si>
  <si>
    <t>Bali Comfort Revolution ComfortFlex Classic Denim Heather S</t>
  </si>
  <si>
    <t>19585785660</t>
  </si>
  <si>
    <t>Bali Passion for Comfort Underwire Pink Leaf Print 42D</t>
  </si>
  <si>
    <t>617914663964</t>
  </si>
  <si>
    <t>Playtex Secrets Side Smoothing Embroid Black and Warm Steel 42D</t>
  </si>
  <si>
    <t>90563401796</t>
  </si>
  <si>
    <t>Bali Comfort Revolution ComfortFlex Light Beige Retro Nude 4 S</t>
  </si>
  <si>
    <t>90563470952</t>
  </si>
  <si>
    <t>Bali Comfort Revolution ComfortFlex Light Beige Retro Nude 4 XXXL</t>
  </si>
  <si>
    <t>3XL NO CUP</t>
  </si>
  <si>
    <t>733003610593</t>
  </si>
  <si>
    <t>Charter Club Cotton Long Floral-Print Wrap Lavender Bouque XL</t>
  </si>
  <si>
    <t>100131376MS</t>
  </si>
  <si>
    <t>733003968212</t>
  </si>
  <si>
    <t>Charter Club Thermal Fleece Printed Pajamas Classic Stripe L</t>
  </si>
  <si>
    <t>733003968229</t>
  </si>
  <si>
    <t>Charter Club Thermal Fleece Printed Pajamas Classic Stripe XL</t>
  </si>
  <si>
    <t>733003871963</t>
  </si>
  <si>
    <t>Charter Club V-Neck T-Shirt Flannel Pants Dotted Snowflak XL</t>
  </si>
  <si>
    <t>11531698413</t>
  </si>
  <si>
    <t>Calvin Klein Perfectly Fit Wireless Contour Black 34D</t>
  </si>
  <si>
    <t>790812744314</t>
  </si>
  <si>
    <t>SLEEVLESS PANT SET</t>
  </si>
  <si>
    <t>12214073763</t>
  </si>
  <si>
    <t>Wacoal Bodysuede Seamless Full-Figure French Nude Nude 5 34D</t>
  </si>
  <si>
    <t>12214073671</t>
  </si>
  <si>
    <t>Wacoal Bodysuede Seamless Full-Figure French Nude Nude 5 36C</t>
  </si>
  <si>
    <t>719544018821</t>
  </si>
  <si>
    <t>Wacoal Body by Wacoal Racerback Under Black 36B</t>
  </si>
  <si>
    <t>SUPPLEX NYLON/SPANDEX;CUPS:NYLON</t>
  </si>
  <si>
    <t>194788055540</t>
  </si>
  <si>
    <t>BLISS FEMME: R/B LAC</t>
  </si>
  <si>
    <t>FABRIC: 62% NYLON/38% SPANDEX; LACE: 81% NYLON/19% SPANDEX</t>
  </si>
  <si>
    <t>194788055472</t>
  </si>
  <si>
    <t>194788055564</t>
  </si>
  <si>
    <t>194788055458</t>
  </si>
  <si>
    <t>194788055533</t>
  </si>
  <si>
    <t>194788055441</t>
  </si>
  <si>
    <t>194788055434</t>
  </si>
  <si>
    <t>766360834289</t>
  </si>
  <si>
    <t>Jenni Lightning Bolt Pajama Set Olive Lightning Bolt M</t>
  </si>
  <si>
    <t>733004894978</t>
  </si>
  <si>
    <t>Jenni Sleep Bodysuit Marble - Rose M</t>
  </si>
  <si>
    <t>733003805173</t>
  </si>
  <si>
    <t>Jenni Jogger Pajama Pants Bold Tiedye S</t>
  </si>
  <si>
    <t>733002668410</t>
  </si>
  <si>
    <t>Jenni Cotton French Terry Sleep Top Tiedye Stripe XL</t>
  </si>
  <si>
    <t>733004106200</t>
  </si>
  <si>
    <t>Jenni Packaged Pajama Set Constellation XXL</t>
  </si>
  <si>
    <t>733004105968</t>
  </si>
  <si>
    <t>Jenni Packaged Pajama Set Funky Leo XL</t>
  </si>
  <si>
    <t>733004106255</t>
  </si>
  <si>
    <t>Jenni Packaged Pajama Set Pinwheel Black S</t>
  </si>
  <si>
    <t>733002668625</t>
  </si>
  <si>
    <t>Jenni Cotton French Terry Sleep Top Animal XL</t>
  </si>
  <si>
    <t>100121082MS</t>
  </si>
  <si>
    <t>733002668618</t>
  </si>
  <si>
    <t>Jenni Cotton French Terry Sleep Top Animal L</t>
  </si>
  <si>
    <t>733002043873</t>
  </si>
  <si>
    <t>Jenni Jogger Pajama Pants Pink Fun XL</t>
  </si>
  <si>
    <t>733004866302</t>
  </si>
  <si>
    <t>Jenni Solid Ribbed Tank Top Lake Green S</t>
  </si>
  <si>
    <t>733004860294</t>
  </si>
  <si>
    <t>Jenni Solid Ribbed Tank Top Taupe M</t>
  </si>
  <si>
    <t>733003439361</t>
  </si>
  <si>
    <t>Jenni Super Soft Sleep Shirt Celestial Hthr S</t>
  </si>
  <si>
    <t>733003438678</t>
  </si>
  <si>
    <t>Jenni Plus Size Ribbed Pajama Top Celestial 3X</t>
  </si>
  <si>
    <t>733003863869</t>
  </si>
  <si>
    <t>Jenni Cotton Flannel Pajama Shorts Funky Leo S</t>
  </si>
  <si>
    <t>733002373963</t>
  </si>
  <si>
    <t>Jenni Solid Cotton Sleep T-Shirt Cast Iron XS</t>
  </si>
  <si>
    <t>769137790405</t>
  </si>
  <si>
    <t>Refinery29 Printed Notch-Collar Pajama Se Printed Navy S</t>
  </si>
  <si>
    <t>889945248087</t>
  </si>
  <si>
    <t>Honeydew Just Chillin Lounge Set Night Mist L</t>
  </si>
  <si>
    <t>716273639068</t>
  </si>
  <si>
    <t>DKNY Printed Pajama Pants Pink Print XL</t>
  </si>
  <si>
    <t>Y2822452</t>
  </si>
  <si>
    <t>671478816945</t>
  </si>
  <si>
    <t>Insomniax Butter Jersey Printed Jogger P Blue M</t>
  </si>
  <si>
    <t>769373266344</t>
  </si>
  <si>
    <t>Ellen Tracy Yours to Love Short Sleeve Top Black 2X</t>
  </si>
  <si>
    <t>N9415331</t>
  </si>
  <si>
    <t>ELLEN TRACY/CHARLES KOMAR</t>
  </si>
  <si>
    <t>192703052841</t>
  </si>
  <si>
    <t>Felina Velvety Bralette Charcoal Heather L</t>
  </si>
  <si>
    <t>888172772501</t>
  </si>
  <si>
    <t>Hue Striped Classic Pajama Pants Pink Stripe M</t>
  </si>
  <si>
    <t>671478800180</t>
  </si>
  <si>
    <t>Insomniax Peached Jersey Pajama Tank Top Sea Blue L</t>
  </si>
  <si>
    <t>192703042279</t>
  </si>
  <si>
    <t>Felina High-Waist Leggings Black S</t>
  </si>
  <si>
    <t>192703051882</t>
  </si>
  <si>
    <t>Felina Sleep Shorts Pebble M</t>
  </si>
  <si>
    <t>26718912015</t>
  </si>
  <si>
    <t>Jaclyn Intimates Whisper Luxe Jogger Pants Paja Olympia Tie Dye White S</t>
  </si>
  <si>
    <t>EBJE446Z</t>
  </si>
  <si>
    <t>191153100119</t>
  </si>
  <si>
    <t>Tahari Womens Relaxed Fit Elastic Wa Silver Filigree XLarge</t>
  </si>
  <si>
    <t>T60044-025</t>
  </si>
  <si>
    <t>733004816369</t>
  </si>
  <si>
    <t>INC International Concepts Womens Lace Plunge Bodysuit 1 Maraschino XL</t>
  </si>
  <si>
    <t>733002692323</t>
  </si>
  <si>
    <t>INC International Concepts Womens Lace Bralette Grn Tambourine S</t>
  </si>
  <si>
    <t>733003401870</t>
  </si>
  <si>
    <t>Charter Club Womens Cotton Pointelle Bikin Classic Black S</t>
  </si>
  <si>
    <t>733003403485</t>
  </si>
  <si>
    <t>Jenni Womens Whimsy Dot Bikini 1001 Multi Plaid S</t>
  </si>
  <si>
    <t>759643869344</t>
  </si>
  <si>
    <t>Rago Rago Satin Waist Cincher in S Beige M</t>
  </si>
  <si>
    <t>M 28</t>
  </si>
  <si>
    <t>845138023879</t>
  </si>
  <si>
    <t>3-IN-1</t>
  </si>
  <si>
    <t>YT1-221</t>
  </si>
  <si>
    <t>YUMMIE TUMMIE/TIMES THREE CLOTHIER</t>
  </si>
  <si>
    <t>76% TACTEL® NYLON/24% LYCRA® SPANDEX</t>
  </si>
  <si>
    <t>845138016017</t>
  </si>
  <si>
    <t>SALMA SEAMLESS BRA</t>
  </si>
  <si>
    <t>YD5-031</t>
  </si>
  <si>
    <t>769137470543</t>
  </si>
  <si>
    <t>Lauren Ralph Lauren Quilted Cotton Wrap Robe Heather Blue L</t>
  </si>
  <si>
    <t>LN52105</t>
  </si>
  <si>
    <t>Jockey Luxe Lounge Sleep T-Shirt Inkwell L</t>
  </si>
  <si>
    <t>12115515621</t>
  </si>
  <si>
    <t>733003829926</t>
  </si>
  <si>
    <t>Alfani French Terry Lounge Pajama Set Deep Malachite M</t>
  </si>
  <si>
    <t>733003830007</t>
  </si>
  <si>
    <t>Alfani French Terry Lounge Pajama Set Garnet Stone L</t>
  </si>
  <si>
    <t>733002042142</t>
  </si>
  <si>
    <t>Alfani Deep V-Neck Bodysuit Classic Black M</t>
  </si>
  <si>
    <t>733004168543</t>
  </si>
  <si>
    <t>Alfani Lounge Wrap Hy Charcoal Htr M</t>
  </si>
  <si>
    <t>733004168567</t>
  </si>
  <si>
    <t>Alfani Lounge Wrap Hy Charcoal Htr XL</t>
  </si>
  <si>
    <t>732999938483</t>
  </si>
  <si>
    <t>Alfani Piping Trim Tank Shorts Paja Pearl Grey XXL</t>
  </si>
  <si>
    <t>733003489779</t>
  </si>
  <si>
    <t>Alfani Hacci Jogger Pajama Pants Soft Mauve S</t>
  </si>
  <si>
    <t>100128355MS</t>
  </si>
  <si>
    <t>733003181475</t>
  </si>
  <si>
    <t>Alfani Long T-Shirt Nightgown Bridal Rose XXL</t>
  </si>
  <si>
    <t>726895353525</t>
  </si>
  <si>
    <t>Alfani Ribbed Knit Pajama Top Classic Black XXXL</t>
  </si>
  <si>
    <t>100046807MS</t>
  </si>
  <si>
    <t>ALFANI-EDI/RWI/MAKALOT</t>
  </si>
  <si>
    <t>19585774329</t>
  </si>
  <si>
    <t>Bali Desire Lace Underwire Bra 6543 Champagne Nude 5 38DD</t>
  </si>
  <si>
    <t>42714120803</t>
  </si>
  <si>
    <t>Playtex Signature Florals Underwire Br White 36DD</t>
  </si>
  <si>
    <t>617914663636</t>
  </si>
  <si>
    <t>Playtex Secrets Side Smoothing Embroid White 36C</t>
  </si>
  <si>
    <t>732997125069</t>
  </si>
  <si>
    <t>Charter Club Printed Cotton Pajamas Set Tonal Plaid XXL</t>
  </si>
  <si>
    <t>733003684020</t>
  </si>
  <si>
    <t>Charter Club Lace-Trim Printed Pajama Set Flrl Mtn Spring XS</t>
  </si>
  <si>
    <t>732997125878</t>
  </si>
  <si>
    <t>Charter Club Cotton Flannel Sleep Shirt Tonal Plaid XS</t>
  </si>
  <si>
    <t>733003010782</t>
  </si>
  <si>
    <t>Charter Club Lace-Trim Sleeveless Nightgown Water Lily XS</t>
  </si>
  <si>
    <t>733003968335</t>
  </si>
  <si>
    <t>Charter Club Thermal Fleece Printed Pajamas Tonal Leopard XXL</t>
  </si>
  <si>
    <t>733003872434</t>
  </si>
  <si>
    <t>Charter Club Cotton Plaid Flannel Nightshir Holiday Plaid XXL</t>
  </si>
  <si>
    <t>733001202721</t>
  </si>
  <si>
    <t>Charter Club Cotton Brushed Knit Printed Ni Cardinal M</t>
  </si>
  <si>
    <t>733003435899</t>
  </si>
  <si>
    <t>Charter Club Crochet-Trim Top Cropped Pan Dove Grey S</t>
  </si>
  <si>
    <t>100131333MS</t>
  </si>
  <si>
    <t>733003435691</t>
  </si>
  <si>
    <t>Charter Club Cotton Crochet-Trim Top Crop Ditsy Bouquet XL</t>
  </si>
  <si>
    <t>733003684334</t>
  </si>
  <si>
    <t>Charter Club V-Neck Sleep T-Shirt Washed Lavender S</t>
  </si>
  <si>
    <t>790812401613</t>
  </si>
  <si>
    <t>Calvin Klein Invisible Comfort Mesh Lift Sc Bare Nude 5 S</t>
  </si>
  <si>
    <t>QF6547</t>
  </si>
  <si>
    <t>790812551455</t>
  </si>
  <si>
    <t>Calvin Klein Knit Chemise Nightgown Snow Heather XL</t>
  </si>
  <si>
    <t>608926777671</t>
  </si>
  <si>
    <t>Calvin Klein Perfectly Fit Modern T-Shirt B Baby Blue 40B</t>
  </si>
  <si>
    <t>790812765661</t>
  </si>
  <si>
    <t>Calvin Klein x Topaz M</t>
  </si>
  <si>
    <t>790812551394</t>
  </si>
  <si>
    <t>Calvin Klein Pure Lounge Sleep Shorts Grey Heather L</t>
  </si>
  <si>
    <t>790812551363</t>
  </si>
  <si>
    <t>Calvin Klein Pure Lounge Sleep Shorts Grey Heather XS</t>
  </si>
  <si>
    <t>790812551400</t>
  </si>
  <si>
    <t>Calvin Klein Pure Lounge Sleep Shorts Grey Heather XL</t>
  </si>
  <si>
    <t>11531347311</t>
  </si>
  <si>
    <t>Calvin Klein Lined Scoop-Neck Bralette QF47 Black S</t>
  </si>
  <si>
    <t>QF4782</t>
  </si>
  <si>
    <t>790812516430</t>
  </si>
  <si>
    <t>Calvin Klein Womens Perfectly Fit Flex Boy Black S</t>
  </si>
  <si>
    <t>790812743768</t>
  </si>
  <si>
    <t>Calvin Klein Cami Shorts Sleep Set Allover Mini Ckblack Rainbow M</t>
  </si>
  <si>
    <t>790812821237</t>
  </si>
  <si>
    <t>Calvin Klein Womens Modern Cotton Brazilia Charcoal Heather XL</t>
  </si>
  <si>
    <t>790812821213</t>
  </si>
  <si>
    <t>Calvin Klein Womens Modern Cotton Brazilia Charcoal Heather M</t>
  </si>
  <si>
    <t>790812565902</t>
  </si>
  <si>
    <t>Calvin Klein Womens CK One Cotton Bikini Q Logo Step Print_seashore Blue L</t>
  </si>
  <si>
    <t>790812571583</t>
  </si>
  <si>
    <t>Calvin Klein Striped-Waist Thong QD3670 Polished Blue L</t>
  </si>
  <si>
    <t>Calvin Klein Invisibles Thong D3428 Cheetah Shadow_pewter XS</t>
  </si>
  <si>
    <t>790812426784</t>
  </si>
  <si>
    <t>Calvin Klein Invisibles Hipster D3429 Josephine M</t>
  </si>
  <si>
    <t>790812564806</t>
  </si>
  <si>
    <t>Calvin Klein CK Form Bikini QD3644 Halftone Finger Prints_plump P L</t>
  </si>
  <si>
    <t>790812563991</t>
  </si>
  <si>
    <t>Calvin Klein Invisibles Hipster D3429 Cheetah Shadow_pewter M</t>
  </si>
  <si>
    <t>790812459263</t>
  </si>
  <si>
    <t>Calvin Klein Invisibles Thong D3428 Josephine S</t>
  </si>
  <si>
    <t>3340442033394</t>
  </si>
  <si>
    <t>Chantelle Womens Full Figure Ideal Back Nude Blush Nude 5 36G</t>
  </si>
  <si>
    <t>36 F</t>
  </si>
  <si>
    <t>CUP: POLYESTER; LACE/TULLE: POLYAMIDE/SPANDEX</t>
  </si>
  <si>
    <t>829284648544</t>
  </si>
  <si>
    <t>Natori Contour Convertible Full Cover Light Mocha 38C</t>
  </si>
  <si>
    <t>COOLMAX POLYESTER/LYCRA® SPANDEX</t>
  </si>
  <si>
    <t>195093014932</t>
  </si>
  <si>
    <t>Wacoal Womens Elevated Allure Underw Blue Fog 38D</t>
  </si>
  <si>
    <t>12214381851</t>
  </si>
  <si>
    <t>Wacoal Bodysuede Ultra Full-Figure Br Sand Nude 5 40DDD</t>
  </si>
  <si>
    <t>719544079495</t>
  </si>
  <si>
    <t>Wacoal Full Figure Halo Lace Bra 6554 Toast- Nude 01 36DD</t>
  </si>
  <si>
    <t>719544953757</t>
  </si>
  <si>
    <t>Wacoal Cooling Racerback Sleep Tank T White L</t>
  </si>
  <si>
    <t>714370575036</t>
  </si>
  <si>
    <t>Flora by Flora Nikrooz Gloria Printed Pajama Set Tan S</t>
  </si>
  <si>
    <t>T90535</t>
  </si>
  <si>
    <t>761321715201</t>
  </si>
  <si>
    <t>Linea Donatella Secret Wish 3-Pc. Babydoll Set Crimson S</t>
  </si>
  <si>
    <t>761321668842</t>
  </si>
  <si>
    <t>Linea Donatella Hammered Satin Cami Tap Shor Apricot M</t>
  </si>
  <si>
    <t>DPS040</t>
  </si>
  <si>
    <t>761321671217</t>
  </si>
  <si>
    <t>Linea Donatella Printed Cami Cropped Pants P Beige L</t>
  </si>
  <si>
    <t>ZEP145</t>
  </si>
  <si>
    <t>761321671200</t>
  </si>
  <si>
    <t>Linea Donatella Printed Cami Cropped Pants P Beige M</t>
  </si>
  <si>
    <t>714370095077</t>
  </si>
  <si>
    <t>Flora by Flora Nikrooz Stella Charmeuse Venise Trim R Black SM</t>
  </si>
  <si>
    <t>T80236</t>
  </si>
  <si>
    <t>714370094940</t>
  </si>
  <si>
    <t>Flora by Flora Nikrooz Stella Charmeuse Venise Trim G Black M</t>
  </si>
  <si>
    <t>761321687683</t>
  </si>
  <si>
    <t>Linea Donatella Paula Printed Camisole Pajama Mauve L</t>
  </si>
  <si>
    <t>PAU140</t>
  </si>
  <si>
    <t>714370570031</t>
  </si>
  <si>
    <t>Flora by Flora Nikrooz Kat Printed Lace-Trim Knit Che Blush M</t>
  </si>
  <si>
    <t>T90541</t>
  </si>
  <si>
    <t>714370499417</t>
  </si>
  <si>
    <t>Flora by Flora Nikrooz Kat Lace-Trimmed Knit Chemise Pink M</t>
  </si>
  <si>
    <t>T80605</t>
  </si>
  <si>
    <t>761321669894</t>
  </si>
  <si>
    <t>Linea Donatella Zephyr Printed Chemise Nightgo Beige S</t>
  </si>
  <si>
    <t>ZEP112</t>
  </si>
  <si>
    <t>732997107157</t>
  </si>
  <si>
    <t>Family Pajamas 2-Pc. Solid Top Plaid Pants Brinkley Plaid S</t>
  </si>
  <si>
    <t>733002967025</t>
  </si>
  <si>
    <t>Family Pajamas Pet Red Check Pajama Red Check L</t>
  </si>
  <si>
    <t>733002860630</t>
  </si>
  <si>
    <t>INC International Concepts Lace-Trim Cami Shorts Sleep Tropical Floral XL</t>
  </si>
  <si>
    <t>INC International Concepts Lace-Trimmed Knit Chemise Dutch Pink M</t>
  </si>
  <si>
    <t>762120530965</t>
  </si>
  <si>
    <t>Jenni Long Sleeve Print Package PJ Camo Army XS</t>
  </si>
  <si>
    <t>100152264MS</t>
  </si>
  <si>
    <t>762120531054</t>
  </si>
  <si>
    <t>Jenni Long Sleeve Print Package PJ Camo Army M</t>
  </si>
  <si>
    <t>762120531085</t>
  </si>
  <si>
    <t>Jenni Long Sleeve Print Package PJ Camo Army XXL</t>
  </si>
  <si>
    <t>762120531214</t>
  </si>
  <si>
    <t>Jenni Long Sleeve Print Package PJ Stripe Outline Pink XXL</t>
  </si>
  <si>
    <t>100152265MS</t>
  </si>
  <si>
    <t>733002043033</t>
  </si>
  <si>
    <t>Jenni Solid Leggings Leopard S</t>
  </si>
  <si>
    <t>733002043057</t>
  </si>
  <si>
    <t>Jenni Solid Leggings Leopard L</t>
  </si>
  <si>
    <t>733003805203</t>
  </si>
  <si>
    <t>Jenni Jogger Pajama Pants Bold Tiedye XL</t>
  </si>
  <si>
    <t>733002668373</t>
  </si>
  <si>
    <t>Jenni Cotton French Terry Sleep Top Tiedye Stripe XS</t>
  </si>
  <si>
    <t>733002064151</t>
  </si>
  <si>
    <t>Jenni Plus Size Tie-Dyed Topper Blkwht Tiedye 2X</t>
  </si>
  <si>
    <t>100116870WN</t>
  </si>
  <si>
    <t>733002668540</t>
  </si>
  <si>
    <t>Jenni Cotton French Terry Sleep Top Tiedye Swirl S</t>
  </si>
  <si>
    <t>733002668571</t>
  </si>
  <si>
    <t>Jenni Cotton French Terry Sleep Top Tiedye Swirl XL</t>
  </si>
  <si>
    <t>733002668564</t>
  </si>
  <si>
    <t>Jenni Cotton French Terry Sleep Top Tiedye Swirl L</t>
  </si>
  <si>
    <t>733003110871</t>
  </si>
  <si>
    <t>Jenni Super Soft Lounge Duster Dusty Mint M</t>
  </si>
  <si>
    <t>100136278MS</t>
  </si>
  <si>
    <t>733004106101</t>
  </si>
  <si>
    <t>Jenni Packaged Pajama Set Tiedye Green M</t>
  </si>
  <si>
    <t>100127275MS</t>
  </si>
  <si>
    <t>733004105845</t>
  </si>
  <si>
    <t>Jenni Packaged Pajama Set Wide Tiger M</t>
  </si>
  <si>
    <t>733002668588</t>
  </si>
  <si>
    <t>Jenni Cotton French Terry Sleep Top Animal XS</t>
  </si>
  <si>
    <t>733002668595</t>
  </si>
  <si>
    <t>Jenni Cotton French Terry Sleep Top Animal S</t>
  </si>
  <si>
    <t>733002668601</t>
  </si>
  <si>
    <t>Jenni Cotton French Terry Sleep Top Animal M</t>
  </si>
  <si>
    <t>733002064281</t>
  </si>
  <si>
    <t>Jenni Plus Size Crewneck Sweatshirt Leopard 3X</t>
  </si>
  <si>
    <t>100116883WN</t>
  </si>
  <si>
    <t>733002668458</t>
  </si>
  <si>
    <t>Jenni Cotton French Terry Sleep Top Marina M</t>
  </si>
  <si>
    <t>733002668472</t>
  </si>
  <si>
    <t>Jenni Cotton French Terry Sleep Top Marina XL</t>
  </si>
  <si>
    <t>733002668465</t>
  </si>
  <si>
    <t>Jenni Cotton French Terry Sleep Top Marina L</t>
  </si>
  <si>
    <t>733002635009</t>
  </si>
  <si>
    <t>Jenni Lettuce-Edge Printed Shorts Pa Moon And Stars S</t>
  </si>
  <si>
    <t>100121086MS</t>
  </si>
  <si>
    <t>733003439309</t>
  </si>
  <si>
    <t>Jenni Super Soft Sleep Shirt Multi Tiedye S</t>
  </si>
  <si>
    <t>100131274MS</t>
  </si>
  <si>
    <t>733004713750</t>
  </si>
  <si>
    <t>Jenni Ribbed Chemise Nightgown Pastel Tie Dye XL</t>
  </si>
  <si>
    <t>733004713576</t>
  </si>
  <si>
    <t>Jenni Ribbed Chemise Nightgown Calming Blue XL</t>
  </si>
  <si>
    <t>733002307463</t>
  </si>
  <si>
    <t>Jenni Tank Shorts Pajama Set Black L</t>
  </si>
  <si>
    <t>100126603MS</t>
  </si>
  <si>
    <t>733002452231</t>
  </si>
  <si>
    <t>Jenni Solid Ribbed Tank Top Deep Black M</t>
  </si>
  <si>
    <t>815630020201</t>
  </si>
  <si>
    <t>Nom Maternity Nom Maternity Corsica Smocked Indigo XL</t>
  </si>
  <si>
    <t>VILLAGE MATERNITY DBA NOM MATERNITY</t>
  </si>
  <si>
    <t>100% RAYON</t>
  </si>
  <si>
    <t>716273711375</t>
  </si>
  <si>
    <t>DKNY Embroidered Top Jogger Pants Oatmeal M</t>
  </si>
  <si>
    <t>192703066817</t>
  </si>
  <si>
    <t>Felina Denali Cozy Knit Wrap Sweater Black M</t>
  </si>
  <si>
    <t>811987021250</t>
  </si>
  <si>
    <t>Pure Fiber Pure Fiber Womens 2pc Loungew Light Beige M</t>
  </si>
  <si>
    <t>PF3BS103M</t>
  </si>
  <si>
    <t>86569324122</t>
  </si>
  <si>
    <t>INKIVY INKIVY Womens Notch Collar P Burgundy XL</t>
  </si>
  <si>
    <t>II220264</t>
  </si>
  <si>
    <t>86569322272</t>
  </si>
  <si>
    <t>INKIVY INKIVY Womens Notch Top and White M</t>
  </si>
  <si>
    <t>II220262</t>
  </si>
  <si>
    <t>26718891693</t>
  </si>
  <si>
    <t>Roudelain Whisper Luxe Cardigan, Tank To Spacedye Flintstonefelix Chec L</t>
  </si>
  <si>
    <t>EBJE116M</t>
  </si>
  <si>
    <t>26718814210</t>
  </si>
  <si>
    <t>Roudelain Tie-Dyed Sweatshirt Jogger P Allure Vintage Wash M</t>
  </si>
  <si>
    <t>26718879028</t>
  </si>
  <si>
    <t>Roudelain Dolman-Sleeve Hooded Short Rob Pink Stripe M</t>
  </si>
  <si>
    <t>86569323200</t>
  </si>
  <si>
    <t>INKIVY INKIVY Womens Double V- Neck Gray XL</t>
  </si>
  <si>
    <t>86569323149</t>
  </si>
  <si>
    <t>INKIVY INKIVY Womens Double V- Neck Evergreen XL</t>
  </si>
  <si>
    <t>86569323088</t>
  </si>
  <si>
    <t>INKIVY INKIVY Womens Double V- Neck Indigo XL</t>
  </si>
  <si>
    <t>86569323071</t>
  </si>
  <si>
    <t>INKIVY INKIVY Womens Double V- Neck Indigo L</t>
  </si>
  <si>
    <t>26718884947</t>
  </si>
  <si>
    <t>Roudelain Cashmere Luxe Long-Sleeve Paja Parchment Solidabove Leopard L</t>
  </si>
  <si>
    <t>Roudelain Whisper Luxe Short-Sleeve Top Pearl Blue Spacedyevday Flora L</t>
  </si>
  <si>
    <t>26718813688</t>
  </si>
  <si>
    <t>Jaclyn Intimates Ultra soft for your ultimate c Varsity St L</t>
  </si>
  <si>
    <t>888172733106</t>
  </si>
  <si>
    <t>Hue Solid Sleep T-Shirt Olivine M</t>
  </si>
  <si>
    <t>PJ214210</t>
  </si>
  <si>
    <t>26718706164</t>
  </si>
  <si>
    <t>Roudelain Printed Button Top Shorts Pa Soft Supernova Tradewinds Nov M</t>
  </si>
  <si>
    <t>194959404948</t>
  </si>
  <si>
    <t>Champion Sleep Boxer Shorts Pink M</t>
  </si>
  <si>
    <t>194490048854</t>
  </si>
  <si>
    <t>Jockey Womens 3-Pk. No Panty Line Pr Lightlightlight Nude 4 5</t>
  </si>
  <si>
    <t>TACTEL® NYLON/SPANDEX; GUSSET LINING: COTTON</t>
  </si>
  <si>
    <t>37882764430</t>
  </si>
  <si>
    <t>Jockey Elance 3-pk. High-Cut Cotton B LightSimple DotBlack 11</t>
  </si>
  <si>
    <t>37882482341</t>
  </si>
  <si>
    <t>Jockey Elance 3-pk. High-Cut Cotton B LightSimple DotBlack 7</t>
  </si>
  <si>
    <t>37882114891</t>
  </si>
  <si>
    <t>Jockey Modern Seamfree Bikini 2045 -- Black 5</t>
  </si>
  <si>
    <t>733002845316</t>
  </si>
  <si>
    <t>INC International Concepts Womens Lace Bustier Dutch Pink XXL</t>
  </si>
  <si>
    <t>733004809897</t>
  </si>
  <si>
    <t>INC International Concepts Womens Lace Bralette Dark Forest M</t>
  </si>
  <si>
    <t>733003405694</t>
  </si>
  <si>
    <t>INC International Concepts Womens Lace Bralette Purple Dynasty S</t>
  </si>
  <si>
    <t>733003405731</t>
  </si>
  <si>
    <t>INC International Concepts Womens Lace Bralette Purple Dynasty XXL</t>
  </si>
  <si>
    <t>733003405649</t>
  </si>
  <si>
    <t>INC International Concepts Womens Lace Bralette Nightfall S</t>
  </si>
  <si>
    <t>733004809927</t>
  </si>
  <si>
    <t>INC International Concepts Womens Lace Bralette Dark Forest XXL</t>
  </si>
  <si>
    <t>732999608164</t>
  </si>
  <si>
    <t>Jenni Cotton Lace Trim Hipster Palm Tree XXXL</t>
  </si>
  <si>
    <t>733003403850</t>
  </si>
  <si>
    <t>Jenni Womens Lightning Hipster Unde Star M</t>
  </si>
  <si>
    <t>733001539469</t>
  </si>
  <si>
    <t>Charter Club Womens Cotton Floral-Print Th Angel White XL</t>
  </si>
  <si>
    <t>733001538851</t>
  </si>
  <si>
    <t>Charter Club Womens Pretty Cotton Bikini 1 Navy Peony XL</t>
  </si>
  <si>
    <t>769137461381</t>
  </si>
  <si>
    <t>Lauren Ralph Lauren Printed Cotton Pajamas Set Blush Floral XL</t>
  </si>
  <si>
    <t>LN92104</t>
  </si>
  <si>
    <t>769137461374</t>
  </si>
  <si>
    <t>Lauren Ralph Lauren Printed Cotton Pajamas Set Blush Floral L</t>
  </si>
  <si>
    <t>769137689396</t>
  </si>
  <si>
    <t>Lauren Ralph Lauren Plus Size Fleece Notch Collar Red Plaid 1X</t>
  </si>
  <si>
    <t>LN92142XF</t>
  </si>
  <si>
    <t>28266825588</t>
  </si>
  <si>
    <t>Miss Elaine Embroidery-Trim Quilted Zip-Up Blue XL</t>
  </si>
  <si>
    <t>826381M</t>
  </si>
  <si>
    <t>28266813950</t>
  </si>
  <si>
    <t>Miss Elaine Printed Nightgown Multi Floral L</t>
  </si>
  <si>
    <t>769137481068</t>
  </si>
  <si>
    <t>Cuddl Duds Printed Pajama Set Multicol S</t>
  </si>
  <si>
    <t>CD8812854</t>
  </si>
  <si>
    <t>37882774170</t>
  </si>
  <si>
    <t>Jockey Jockey Plus Everyday Essential Blue 1X</t>
  </si>
  <si>
    <t>194490288823</t>
  </si>
  <si>
    <t>Jockey Soft Essentials Sleep Shorts Mixed Animal M</t>
  </si>
  <si>
    <t>714147485124</t>
  </si>
  <si>
    <t>Briefly Stated Big Girls Minnie Mouse Holiday Asst 4</t>
  </si>
  <si>
    <t>MK734GLLMA</t>
  </si>
  <si>
    <t>4</t>
  </si>
  <si>
    <t>714147481492</t>
  </si>
  <si>
    <t>Briefly Stated Toddler Boys Mickey Mouse Holi Asst 2T</t>
  </si>
  <si>
    <t>MK733ELLMA</t>
  </si>
  <si>
    <t>733004168628</t>
  </si>
  <si>
    <t>Alfani Lounge Wrap Oatmeal Hthr XL</t>
  </si>
  <si>
    <t>733004168475</t>
  </si>
  <si>
    <t>Alfani Lounge Wrap Night Shadow S</t>
  </si>
  <si>
    <t>733004168611</t>
  </si>
  <si>
    <t>Alfani Lounge Wrap Oatmeal Hthr L</t>
  </si>
  <si>
    <t>733004168581</t>
  </si>
  <si>
    <t>Alfani Lounge Wrap Oatmeal Hthr XS</t>
  </si>
  <si>
    <t>733004168499</t>
  </si>
  <si>
    <t>Alfani Lounge Wrap Night Shadow L</t>
  </si>
  <si>
    <t>733003684327</t>
  </si>
  <si>
    <t>Charter Club V-Neck Sleep T-Shirt Washed Lavender XS</t>
  </si>
  <si>
    <t>790812872338</t>
  </si>
  <si>
    <t>Calvin Klein Womens Plus Size Invisibles V Rebellious 1X</t>
  </si>
  <si>
    <t>QF5831</t>
  </si>
  <si>
    <t>790812872345</t>
  </si>
  <si>
    <t>Calvin Klein Womens Plus Size Invisibles V Rebellious 2X</t>
  </si>
  <si>
    <t>608279189411</t>
  </si>
  <si>
    <t>Calvin Klein Invisibles T-Shirt Bra QF1184 Black 34B</t>
  </si>
  <si>
    <t>790812820292</t>
  </si>
  <si>
    <t>Calvin Klein V-Neck Bralette QT0002 Bleached Denim XS</t>
  </si>
  <si>
    <t>34 F</t>
  </si>
  <si>
    <t>LE MYSTERE/KOMAR INTIMATES LLC</t>
  </si>
  <si>
    <t>733004893704</t>
  </si>
  <si>
    <t>Jenni Super-Soft Long-Sleeve Sleep T Dusty Jade XL</t>
  </si>
  <si>
    <t>671478817034</t>
  </si>
  <si>
    <t>Insomniax Butter Jersey Printed Jogger P Coral XL</t>
  </si>
  <si>
    <t>26718884909</t>
  </si>
  <si>
    <t>Roudelain Cashmere Luxe Long-Sleeve Paja New Copper Solidabove Leopard L</t>
  </si>
  <si>
    <t>C420602</t>
  </si>
  <si>
    <t>26718790873</t>
  </si>
  <si>
    <t>Roudelain Whisperluxe Printed Jogger Paj Striped Zebra T XL</t>
  </si>
  <si>
    <t>LARGE S/S</t>
  </si>
  <si>
    <t>492031617522</t>
  </si>
  <si>
    <t>WOMEN SLEEPWEAR TOP MISMATE</t>
  </si>
  <si>
    <t>WMNS SLEEP TOP MSMT</t>
  </si>
  <si>
    <t>NO COLOR</t>
  </si>
  <si>
    <t>NO SIZE</t>
  </si>
  <si>
    <t>DEFAULT VENDOR</t>
  </si>
  <si>
    <t>733002041961</t>
  </si>
  <si>
    <t>Alfani Leggings Classic Black XL</t>
  </si>
  <si>
    <t>733004249938</t>
  </si>
  <si>
    <t>Alfani Soft Long-Sleeve Sleep Top Classic Black M</t>
  </si>
  <si>
    <t>733004469770</t>
  </si>
  <si>
    <t>Alfani Essential Jogger Pajama Pants Ditzy Heart XL</t>
  </si>
  <si>
    <t>100137146MS</t>
  </si>
  <si>
    <t>733004469787</t>
  </si>
  <si>
    <t>Alfani Essential Jogger Pajama Pants Ditzy Heart XXL</t>
  </si>
  <si>
    <t>733004469749</t>
  </si>
  <si>
    <t>Alfani Essential Jogger Pajama Pants Ditzy Heart S</t>
  </si>
  <si>
    <t>733004469756</t>
  </si>
  <si>
    <t>Alfani Essential Jogger Pajama Pants Ditzy Heart M</t>
  </si>
  <si>
    <t>733004469763</t>
  </si>
  <si>
    <t>Alfani Essential Jogger Pajama Pants Ditzy Heart L</t>
  </si>
  <si>
    <t>34 DDD</t>
  </si>
  <si>
    <t>608279986904</t>
  </si>
  <si>
    <t>Calvin Klein Invisibles T-Shirt Bra QF1184 Black 40B</t>
  </si>
  <si>
    <t>733004896057</t>
  </si>
  <si>
    <t>Jenni Sleep Bodysuit Marble - Jade 3X</t>
  </si>
  <si>
    <t>100139856WN</t>
  </si>
  <si>
    <t>733004896040</t>
  </si>
  <si>
    <t>Jenni Sleep Bodysuit Marble - Jade 2X</t>
  </si>
  <si>
    <t>733004896033</t>
  </si>
  <si>
    <t>Jenni Sleep Bodysuit Marble - Jade 1X</t>
  </si>
  <si>
    <t>733004894749</t>
  </si>
  <si>
    <t>Jenni Sleep Bodysuit Marble - Jade XL</t>
  </si>
  <si>
    <t>733004894756</t>
  </si>
  <si>
    <t>Jenni Sleep Bodysuit Marble - Jade XXL</t>
  </si>
  <si>
    <t>733004894725</t>
  </si>
  <si>
    <t>Jenni Sleep Bodysuit Marble - Jade M</t>
  </si>
  <si>
    <t>733004894510</t>
  </si>
  <si>
    <t>Jenni Sleep Jogger Pants Dusty Jade XL</t>
  </si>
  <si>
    <t>100139852MS</t>
  </si>
  <si>
    <t>733004895616</t>
  </si>
  <si>
    <t>Jenni Super-Soft Long-Sleeve Sleep T Withered Rose 1X</t>
  </si>
  <si>
    <t>100139845WN</t>
  </si>
  <si>
    <t>733004895630</t>
  </si>
  <si>
    <t>Jenni Super-Soft Long-Sleeve Sleep T Withered Rose 3X</t>
  </si>
  <si>
    <t>733004895609</t>
  </si>
  <si>
    <t>Jenni Super-Soft Long-Sleeve Sleep T Dusty Jade 3X</t>
  </si>
  <si>
    <t>733004895579</t>
  </si>
  <si>
    <t>Jenni Super-Soft Long-Sleeve Sleep T Washed White 3X</t>
  </si>
  <si>
    <t>733004895593</t>
  </si>
  <si>
    <t>Jenni Super-Soft Long-Sleeve Sleep T Dusty Jade 2X</t>
  </si>
  <si>
    <t>733004895623</t>
  </si>
  <si>
    <t>Jenni Super-Soft Long-Sleeve Sleep T Withered Rose 2X</t>
  </si>
  <si>
    <t>733004895340</t>
  </si>
  <si>
    <t>Jenni Fuzzy Knit Sleep Crop Top Dusty Jade 2X</t>
  </si>
  <si>
    <t>100136983WN</t>
  </si>
  <si>
    <t>733004895357</t>
  </si>
  <si>
    <t>Jenni Fuzzy Knit Sleep Crop Top Dusty Jade 3X</t>
  </si>
  <si>
    <t>733004895487</t>
  </si>
  <si>
    <t>Jenni Fuzzy Knit Sleep Crop Top Withered Rose 3X</t>
  </si>
  <si>
    <t>733004895470</t>
  </si>
  <si>
    <t>Jenni Fuzzy Knit Sleep Crop Top Withered Rose 2X</t>
  </si>
  <si>
    <t>733004895333</t>
  </si>
  <si>
    <t>Jenni Fuzzy Knit Sleep Crop Top Dusty Jade 1X</t>
  </si>
  <si>
    <t>733004896170</t>
  </si>
  <si>
    <t>Jenni Printed Ribbed Wide-Leg Pajama Pastel Tie Dye M</t>
  </si>
  <si>
    <t>100136961MS</t>
  </si>
  <si>
    <t>733004860416</t>
  </si>
  <si>
    <t>Jenni Solid Ribbed Tank Top Olive M</t>
  </si>
  <si>
    <t>733004893001</t>
  </si>
  <si>
    <t>Jenni Ribbed Henley Pajama Top Calming Blue XS</t>
  </si>
  <si>
    <t>733004893056</t>
  </si>
  <si>
    <t>Jenni Ribbed Henley Pajama Top Calming Blue XXL</t>
  </si>
  <si>
    <t>733004893094</t>
  </si>
  <si>
    <t>Jenni Ribbed Henley Pajama Top Lilac Whisper L</t>
  </si>
  <si>
    <t>733004893025</t>
  </si>
  <si>
    <t>Jenni Ribbed Henley Pajama Top Calming Blue M</t>
  </si>
  <si>
    <t>733004893070</t>
  </si>
  <si>
    <t>Jenni Ribbed Henley Pajama Top Lilac Whisper S</t>
  </si>
  <si>
    <t>733004893018</t>
  </si>
  <si>
    <t>Jenni Ribbed Henley Pajama Top Calming Blue S</t>
  </si>
  <si>
    <t>733004893124</t>
  </si>
  <si>
    <t>Jenni Ribbed Henley Pajama Top Parfait Pink XS</t>
  </si>
  <si>
    <t>733004893131</t>
  </si>
  <si>
    <t>Jenni Ribbed Henley Pajama Top Parfait Pink S</t>
  </si>
  <si>
    <t>733004713651</t>
  </si>
  <si>
    <t>Jenni Ribbed Chemise Nightgown Rainbow Tie Dye XS</t>
  </si>
  <si>
    <t>Y2822491</t>
  </si>
  <si>
    <t>RZ9IXP5</t>
  </si>
  <si>
    <t>EBJE071M</t>
  </si>
  <si>
    <t>4T SLIM</t>
  </si>
  <si>
    <t>G121310</t>
  </si>
  <si>
    <t>733003403669</t>
  </si>
  <si>
    <t>Jenni Cotton Lace Trim Hipster Multi Plaid S</t>
  </si>
  <si>
    <t>733003829353</t>
  </si>
  <si>
    <t>Alfani Thermal Henley Pajama Set Gray Rose XXL</t>
  </si>
  <si>
    <t>733003830441</t>
  </si>
  <si>
    <t>Alfani Button Top Shorts Pajamas Se Cheetah L</t>
  </si>
  <si>
    <t>100132747MS</t>
  </si>
  <si>
    <t>733003806552</t>
  </si>
  <si>
    <t>Charter Club Charter Club Hacci V-Neck Op Orchid Haze XS</t>
  </si>
  <si>
    <t>100131596MS</t>
  </si>
  <si>
    <t>733003806590</t>
  </si>
  <si>
    <t>Charter Club Charter Club Hacci V-Neck Op Orchid Haze XL</t>
  </si>
  <si>
    <t>790812598207</t>
  </si>
  <si>
    <t>Calvin Klein One Plus Size French Terry Sle Snow Heather 1X</t>
  </si>
  <si>
    <t>790812815397</t>
  </si>
  <si>
    <t>Calvin Klein Perfectly Fit Modern T-Shirt B Marbalized Floral Print_bleach 34DD</t>
  </si>
  <si>
    <t>790812060315</t>
  </si>
  <si>
    <t>Calvin Klein Womens Constant Racerback Bra Black 32DD</t>
  </si>
  <si>
    <t>QF6140</t>
  </si>
  <si>
    <t>MADE IN INDONESIA</t>
  </si>
  <si>
    <t>89% POLYESTER/11% ELASTANE; MESH: 68% POLYAMIDE/32% ELASTANE</t>
  </si>
  <si>
    <t>608279171096</t>
  </si>
  <si>
    <t>Calvin Klein Modern Cotton Bralette F3785 Coastal S</t>
  </si>
  <si>
    <t>12214919221</t>
  </si>
  <si>
    <t>Wacoal Full Figure Halo Lace Bra 6554 Toast- Nude 01 34DDD</t>
  </si>
  <si>
    <t>761321689410</t>
  </si>
  <si>
    <t>Linea Donatella Floral Batik Printed Wrapper Black SM</t>
  </si>
  <si>
    <t>FBT130</t>
  </si>
  <si>
    <t>733003605742</t>
  </si>
  <si>
    <t>Family Pajamas Matching Womens Mama Bear Pla Bear Plaid M</t>
  </si>
  <si>
    <t>733003608811</t>
  </si>
  <si>
    <t>Family Pajamas x Grey Tie Dye 3X</t>
  </si>
  <si>
    <t>100132976W</t>
  </si>
  <si>
    <t>732996681290</t>
  </si>
  <si>
    <t>Family Pajamas Plaid Pet Pajamas Brinkley Plaid L</t>
  </si>
  <si>
    <t>733003867164</t>
  </si>
  <si>
    <t>Jenni Solid Leggings Tonal Camo M</t>
  </si>
  <si>
    <t>733003196011</t>
  </si>
  <si>
    <t>Jenni Ribbed Sleep Shorts Black Tie Dye XS</t>
  </si>
  <si>
    <t>100127609MS</t>
  </si>
  <si>
    <t>733003867218</t>
  </si>
  <si>
    <t>Jenni Biker Shorts Tan Leopard S</t>
  </si>
  <si>
    <t>733003867201</t>
  </si>
  <si>
    <t>Jenni Biker Shorts Tan Leopard XS</t>
  </si>
  <si>
    <t>733003869274</t>
  </si>
  <si>
    <t>Jenni Ribbed Sleep Tank Top First Lilac XL</t>
  </si>
  <si>
    <t>769137790696</t>
  </si>
  <si>
    <t>Refinery29 Printed Notch-Collar Pajama Se Grey Print L</t>
  </si>
  <si>
    <t>192703066664</t>
  </si>
  <si>
    <t>Felina Denali Cozy Knit Hooded Tunic Tan L</t>
  </si>
  <si>
    <t>889945269792</t>
  </si>
  <si>
    <t>Honeydew Baby Fleece Hoodie Lounge Set Vixen S</t>
  </si>
  <si>
    <t>769137788525</t>
  </si>
  <si>
    <t>Refinery29 Printed Henley Sleep Shirt S Green Print M</t>
  </si>
  <si>
    <t>769137788532</t>
  </si>
  <si>
    <t>Refinery29 Printed Henley Sleep Shirt S Green Print L</t>
  </si>
  <si>
    <t>716273661175</t>
  </si>
  <si>
    <t>DKNY DKNY Sleepwear Tank Shorts P Coral Print M</t>
  </si>
  <si>
    <t>192703066145</t>
  </si>
  <si>
    <t>Felina Lassen Terry Sweatpants Clay L</t>
  </si>
  <si>
    <t>671478824353</t>
  </si>
  <si>
    <t>Insomniax Hoodie Pajama Top Oatmeal M</t>
  </si>
  <si>
    <t>671478824902</t>
  </si>
  <si>
    <t>Insomniax Printed Long Sleeve Pajama Top Black XL</t>
  </si>
  <si>
    <t>671478825091</t>
  </si>
  <si>
    <t>Insomniax Jogger Pajama Pants Blush XL</t>
  </si>
  <si>
    <t>192703065636</t>
  </si>
  <si>
    <t>Felina Naturally Soft Lounge Top Lavender XL</t>
  </si>
  <si>
    <t>889835341492</t>
  </si>
  <si>
    <t>Muk Luks Butter-Knit V-Neck Flare-Leg Pink Coffee L</t>
  </si>
  <si>
    <t>889835341485</t>
  </si>
  <si>
    <t>Muk Luks Butter-Knit V-Neck Flare-Leg Pink Coffee M</t>
  </si>
  <si>
    <t>889835341584</t>
  </si>
  <si>
    <t>Muk Luks Butter-Knit V-Neck Flare-Leg Mauve XL</t>
  </si>
  <si>
    <t>889835321456</t>
  </si>
  <si>
    <t>Muk Luks Half zip style faux sherpa top Heathergre M</t>
  </si>
  <si>
    <t>M121904</t>
  </si>
  <si>
    <t>889835324846</t>
  </si>
  <si>
    <t>Muk Luks Printed Fleece Pajama Pants Cats A411 S</t>
  </si>
  <si>
    <t>26718803221</t>
  </si>
  <si>
    <t>Jaclyn Intimates Ribbed Jogger Pajama Pants Cozy Camo M</t>
  </si>
  <si>
    <t>671478867510</t>
  </si>
  <si>
    <t>PJ SET DITSY DAYZ</t>
  </si>
  <si>
    <t>RC8DDST</t>
  </si>
  <si>
    <t>AQUA/DELTA GALIL USA INC</t>
  </si>
  <si>
    <t>671478867527</t>
  </si>
  <si>
    <t>671478867541</t>
  </si>
  <si>
    <t>671478867534</t>
  </si>
  <si>
    <t>671478825749</t>
  </si>
  <si>
    <t>PJ SET AQUA LOUNGE BASIC</t>
  </si>
  <si>
    <t>RZ8PST2</t>
  </si>
  <si>
    <t>62% POLYESTER/34% RAYON/4% ELASTANE</t>
  </si>
  <si>
    <t>671478825787</t>
  </si>
  <si>
    <t>671478825756</t>
  </si>
  <si>
    <t>671478825763</t>
  </si>
  <si>
    <t>671478825541</t>
  </si>
  <si>
    <t>RZ8PST1</t>
  </si>
  <si>
    <t>48% RAYON/47% POLYESTER/5% ELASTANE</t>
  </si>
  <si>
    <t>671478825619</t>
  </si>
  <si>
    <t>PJ SET AQUA LOUNGE</t>
  </si>
  <si>
    <t>671478867466</t>
  </si>
  <si>
    <t>PJ SET LEMON LOVER</t>
  </si>
  <si>
    <t>RC8CSST</t>
  </si>
  <si>
    <t>BRGHT YELL</t>
  </si>
  <si>
    <t>COTTON/RAYON</t>
  </si>
  <si>
    <t>28266813165</t>
  </si>
  <si>
    <t>Miss Elaine Knit Notch-Collar Pajama Set Blooming Ivory M</t>
  </si>
  <si>
    <t>769137481617</t>
  </si>
  <si>
    <t>Cuddl Duds Printed Top Jogger Pants Paj Pink Print L</t>
  </si>
  <si>
    <t>193666293203</t>
  </si>
  <si>
    <t>DRAFT - V THONG Bright White L</t>
  </si>
  <si>
    <t>R11T612</t>
  </si>
  <si>
    <t>193666293296</t>
  </si>
  <si>
    <t>DRAFT - BRAZILLIAN BIKINI Tango Red M</t>
  </si>
  <si>
    <t>R14T618</t>
  </si>
  <si>
    <t>193666293326</t>
  </si>
  <si>
    <t>DRAFT - BRAZILLIAN BIKINI Bright White L</t>
  </si>
  <si>
    <t>732999344666</t>
  </si>
  <si>
    <t>DRAFT - EMB MESH SHORT SET Washed White S</t>
  </si>
  <si>
    <t>100090389MS</t>
  </si>
  <si>
    <t>732999344727</t>
  </si>
  <si>
    <t>DRAFT - EMB MESH SHORT SET Washed White XXL</t>
  </si>
  <si>
    <t>732999344697</t>
  </si>
  <si>
    <t>DRAFT - EMB MESH SHORT SET Washed White M</t>
  </si>
  <si>
    <t>732999344604</t>
  </si>
  <si>
    <t>DRAFT - EMB MESH CHEMISE Washed White S</t>
  </si>
  <si>
    <t>100090388MS</t>
  </si>
  <si>
    <t>732999344642</t>
  </si>
  <si>
    <t>DRAFT - EMB MESH CHEMISE Washed White XXL</t>
  </si>
  <si>
    <t>732999344611</t>
  </si>
  <si>
    <t>DRAFT - EMB MESH CHEMISE Washed White M</t>
  </si>
  <si>
    <t>769137152197</t>
  </si>
  <si>
    <t>Lauren Ralph Lauren Plus Size Plaid Pajama Set Ivory Flor 1X</t>
  </si>
  <si>
    <t>LN92020X</t>
  </si>
  <si>
    <t>769137159059</t>
  </si>
  <si>
    <t>Lauren Ralph Lauren Plus Size Printed Cotton Pajam Red Prt 3X</t>
  </si>
  <si>
    <t>LN92024X</t>
  </si>
  <si>
    <t>762120565462</t>
  </si>
  <si>
    <t>Alfani Printed Jogger Sleep Pants Ntrl Tiedye Str XL</t>
  </si>
  <si>
    <t>100144068MS</t>
  </si>
  <si>
    <t>762120565455</t>
  </si>
  <si>
    <t>Alfani Printed Jogger Sleep Pants Ntrl Tiedye Str L</t>
  </si>
  <si>
    <t>762120534628</t>
  </si>
  <si>
    <t>Alfani Printed Jogger Sleep Pants Funky Anml Orch XL</t>
  </si>
  <si>
    <t>100144067MS</t>
  </si>
  <si>
    <t>762120534734</t>
  </si>
  <si>
    <t>Alfani Printed Jogger Sleep Pants Funky Anml Orch XXL</t>
  </si>
  <si>
    <t>100144065MS</t>
  </si>
  <si>
    <t>762120070317</t>
  </si>
  <si>
    <t>Alfani Colorblocked Pajama Top Pale Blue Mist XXL</t>
  </si>
  <si>
    <t>100137150MS</t>
  </si>
  <si>
    <t>733001180098</t>
  </si>
  <si>
    <t>Alfani Knit Pajama Pants Hy Grey Hthr XS</t>
  </si>
  <si>
    <t>100103261MS</t>
  </si>
  <si>
    <t>733001180135</t>
  </si>
  <si>
    <t>Alfani Knit Pajama Pants Hy Grey Hthr L</t>
  </si>
  <si>
    <t>733004470912</t>
  </si>
  <si>
    <t>Alfani Essential Jogger Pajama Pants Garnet Stone XXL</t>
  </si>
  <si>
    <t>100137147MS</t>
  </si>
  <si>
    <t>733004470882</t>
  </si>
  <si>
    <t>Alfani Essential Jogger Pajama Pants Garnet Stone M</t>
  </si>
  <si>
    <t>733004469718</t>
  </si>
  <si>
    <t>Alfani Long-Sleeve Pocket Sleep T-Shi Garnet Stone XL</t>
  </si>
  <si>
    <t>733004469725</t>
  </si>
  <si>
    <t>Alfani Long-Sleeve Pocket Sleep T-Shi Garnet Stone XXL</t>
  </si>
  <si>
    <t>100090177MS</t>
  </si>
  <si>
    <t>100144148MS</t>
  </si>
  <si>
    <t>100137200MS</t>
  </si>
  <si>
    <t>762120072328</t>
  </si>
  <si>
    <t>Charter Club Cotton Solid Cropped Pajama Pa Classic Black S</t>
  </si>
  <si>
    <t>100136679MS</t>
  </si>
  <si>
    <t>762120072342</t>
  </si>
  <si>
    <t>Charter Club Cotton Solid Cropped Pajama Pa Classic Black L</t>
  </si>
  <si>
    <t>100117266MS</t>
  </si>
  <si>
    <t>733002038268</t>
  </si>
  <si>
    <t>Charter Club V-Neck Sleep T-Shirt Dove Grey Hthr XS</t>
  </si>
  <si>
    <t>762120526845</t>
  </si>
  <si>
    <t>INC International Concepts Lace-Trim Cami Shorts Pajama Mixed Tiedye S</t>
  </si>
  <si>
    <t>100144373MS</t>
  </si>
  <si>
    <t>762120526869</t>
  </si>
  <si>
    <t>INC International Concepts Lace-Trim Cami Shorts Pajama Mixed Tiedye L</t>
  </si>
  <si>
    <t>762120526852</t>
  </si>
  <si>
    <t>INC International Concepts Lace-Trim Cami Shorts Pajama Mixed Tiedye M</t>
  </si>
  <si>
    <t>762120526876</t>
  </si>
  <si>
    <t>INC International Concepts Lace-Trim Cami Shorts Pajama Mixed Tiedye XL</t>
  </si>
  <si>
    <t>762120482578</t>
  </si>
  <si>
    <t>INC International Concepts Lace-Bodice Chiffon Chemise Divine Berry XXL</t>
  </si>
  <si>
    <t>762120482509</t>
  </si>
  <si>
    <t>INC International Concepts Lace-Bodice Chiffon Chemise Lolite XL</t>
  </si>
  <si>
    <t>733002324767</t>
  </si>
  <si>
    <t>INC International Concepts Lace-Trim Cami Shorts Pajama Deep Black XXL</t>
  </si>
  <si>
    <t>100117206MS</t>
  </si>
  <si>
    <t>733004894718</t>
  </si>
  <si>
    <t>Jenni Sleep Bodysuit Marble - Jade S</t>
  </si>
  <si>
    <t>733004894732</t>
  </si>
  <si>
    <t>Jenni Sleep Bodysuit Marble - Jade L</t>
  </si>
  <si>
    <t>733004894701</t>
  </si>
  <si>
    <t>Jenni Sleep Bodysuit Marble - Jade XS</t>
  </si>
  <si>
    <t>733004895555</t>
  </si>
  <si>
    <t>Jenni Super-Soft Long-Sleeve Sleep T Washed White 1X</t>
  </si>
  <si>
    <t>733004895012</t>
  </si>
  <si>
    <t>Jenni Lounge Hoodie Rainbow Tie Dye XS</t>
  </si>
  <si>
    <t>100136986MS</t>
  </si>
  <si>
    <t>733004896446</t>
  </si>
  <si>
    <t>Jenni Tie-Dyed Jogger Pajama Pants Rainbow Tie Dye XXL</t>
  </si>
  <si>
    <t>100136990MS</t>
  </si>
  <si>
    <t>733004896439</t>
  </si>
  <si>
    <t>Jenni Tie-Dyed Jogger Pajama Pants Rainbow Tie Dye XL</t>
  </si>
  <si>
    <t>733004895463</t>
  </si>
  <si>
    <t>Jenni Fuzzy Knit Sleep Crop Top Withered Rose 1X</t>
  </si>
  <si>
    <t>733004896200</t>
  </si>
  <si>
    <t>Jenni Printed Ribbed Wide-Leg Pajama Pastel Tie Dye XXL</t>
  </si>
  <si>
    <t>733004017780</t>
  </si>
  <si>
    <t>Jenni Printed Sleep Shirt Camo Green XS</t>
  </si>
  <si>
    <t>100127280MS</t>
  </si>
  <si>
    <t>733004017803</t>
  </si>
  <si>
    <t>Jenni Printed Sleep Shirt Camo Green M</t>
  </si>
  <si>
    <t>733004017834</t>
  </si>
  <si>
    <t>Jenni Printed Sleep Shirt Constellation XS</t>
  </si>
  <si>
    <t>100127282MS</t>
  </si>
  <si>
    <t>733004893049</t>
  </si>
  <si>
    <t>Jenni Ribbed Henley Pajama Top Calming Blue XL</t>
  </si>
  <si>
    <t>733004893148</t>
  </si>
  <si>
    <t>Jenni Ribbed Henley Pajama Top Parfait Pink M</t>
  </si>
  <si>
    <t>733004893162</t>
  </si>
  <si>
    <t>Jenni Ribbed Henley Pajama Top Parfait Pink XL</t>
  </si>
  <si>
    <t>733004893117</t>
  </si>
  <si>
    <t>Jenni Ribbed Henley Pajama Top Lilac Whisper XXL</t>
  </si>
  <si>
    <t>733004896378</t>
  </si>
  <si>
    <t>Jenni Ribbed Pajama Jogger Pants Tonal Leopard XL</t>
  </si>
  <si>
    <t>100136964MS</t>
  </si>
  <si>
    <t>Felina Denali Cozy Knit Wrap Sweater Black L</t>
  </si>
  <si>
    <t>733004015663</t>
  </si>
  <si>
    <t>INC International Concepts Solid Lace Cup Bodysuit Deep Black M</t>
  </si>
  <si>
    <t>492031617539</t>
  </si>
  <si>
    <t>WOMEN SLEEPWEAR BOTTOM MISMATE</t>
  </si>
  <si>
    <t>WMNS SLEEP BTM MSMT</t>
  </si>
  <si>
    <t>766380012193</t>
  </si>
  <si>
    <t>Alfani Womens Printed Short Sleeve T Shpskn Tiger L</t>
  </si>
  <si>
    <t>100150704MS</t>
  </si>
  <si>
    <t>766380012131</t>
  </si>
  <si>
    <t>Alfani Womens Printed Short Sleeve T Md Dnm Mini Plm L</t>
  </si>
  <si>
    <t>100150703MS</t>
  </si>
  <si>
    <t>732998621027</t>
  </si>
  <si>
    <t>Alfani Super-Soft Knit Sleep T-Shirt Grey Heather XL</t>
  </si>
  <si>
    <t>762120482530</t>
  </si>
  <si>
    <t>INC International Concepts Lace-Bodice Chiffon Chemise Divine Berry S</t>
  </si>
  <si>
    <t>762120482523</t>
  </si>
  <si>
    <t>INC International Concepts Lace-Bodice Chiffon Chemise Divine Berry XS</t>
  </si>
  <si>
    <t>733003813260</t>
  </si>
  <si>
    <t>INC International Concepts Lace-Trim Cami Shorts Pajama Tiny Stars XL</t>
  </si>
  <si>
    <t>100133408MS</t>
  </si>
  <si>
    <t>733004895838</t>
  </si>
  <si>
    <t>Jenni Solid Sleep Leggings Deep Black 2X</t>
  </si>
  <si>
    <t>100139851WN</t>
  </si>
  <si>
    <t>733004894435</t>
  </si>
  <si>
    <t>Jenni Sleep Jogger Pants Washed White M</t>
  </si>
  <si>
    <t>733004895036</t>
  </si>
  <si>
    <t>Jenni Lounge Hoodie Rainbow Tie Dye M</t>
  </si>
  <si>
    <t>733004896385</t>
  </si>
  <si>
    <t>Jenni Ribbed Pajama Jogger Pants Tonal Leopard XXL</t>
  </si>
  <si>
    <t>716272799275</t>
  </si>
  <si>
    <t>Ellen Tracy Yours to Love Short Sleeve Nig White Grid M</t>
  </si>
  <si>
    <t>N8015331</t>
  </si>
  <si>
    <t>26718753953</t>
  </si>
  <si>
    <t>Roudelain T-Shirt Shorts Sleep Set Buttercup M</t>
  </si>
  <si>
    <t>EAJE205M</t>
  </si>
  <si>
    <t>194959404931</t>
  </si>
  <si>
    <t>Champion Sleep Boxer Shorts Pink S</t>
  </si>
  <si>
    <t>766370456365</t>
  </si>
  <si>
    <t>INC International Concepts Womens Sheer Floral Keyhole B Ditsy Daisy XXL</t>
  </si>
  <si>
    <t>733001242116</t>
  </si>
  <si>
    <t>INC International Concepts INC International Concepts Lac Deep Black XL</t>
  </si>
  <si>
    <t>733002273485</t>
  </si>
  <si>
    <t>INC International Concepts Sheer Lace High-Neck Bodysuit Washed White S</t>
  </si>
  <si>
    <t>733004810510</t>
  </si>
  <si>
    <t>INC International Concepts Womens 3-Pk. Lace Thong Under Deep Black XXL</t>
  </si>
  <si>
    <t>733004810657</t>
  </si>
  <si>
    <t>INC International Concepts Womens 3-Pk. Lace Thong Under Dark Forest XXL</t>
  </si>
  <si>
    <t>841637141403</t>
  </si>
  <si>
    <t>Blooming Women by Angel Womens Petal Front Maternity Black Medium</t>
  </si>
  <si>
    <t>N269LBM</t>
  </si>
  <si>
    <t>36094112299</t>
  </si>
  <si>
    <t>Kendall Kylie Kendall Kylie Cropped Lounge White M</t>
  </si>
  <si>
    <t>KW203200</t>
  </si>
  <si>
    <t>KAYSER-ROTH CORPORATION</t>
  </si>
  <si>
    <t>762120564090</t>
  </si>
  <si>
    <t>Alfani Printed Sleep Top Funky Anml Orch XXL</t>
  </si>
  <si>
    <t>762120535090</t>
  </si>
  <si>
    <t>Alfani Super Soft Wide-Leg Pajama Pan Classic Black XXL</t>
  </si>
  <si>
    <t>100144074MS</t>
  </si>
  <si>
    <t>762120070430</t>
  </si>
  <si>
    <t>Alfani Colorblocked Pajama Jogger Pan Pale Blue Mist XXL</t>
  </si>
  <si>
    <t>733003489816</t>
  </si>
  <si>
    <t>Alfani Hacci Jogger Pajama Pants Soft Mauve XXL</t>
  </si>
  <si>
    <t>762120070294</t>
  </si>
  <si>
    <t>Alfani Colorblocked Pajama Top Pale Blue Mist L</t>
  </si>
  <si>
    <t>762120070270</t>
  </si>
  <si>
    <t>Alfani Colorblocked Pajama Top Pale Blue Mist S</t>
  </si>
  <si>
    <t>762120070300</t>
  </si>
  <si>
    <t>Alfani Colorblocked Pajama Top Pale Blue Mist XL</t>
  </si>
  <si>
    <t>733001180159</t>
  </si>
  <si>
    <t>Alfani Knit Pajama Pants Hy Grey Hthr XXL</t>
  </si>
  <si>
    <t>733004469701</t>
  </si>
  <si>
    <t>Alfani Long-Sleeve Pocket Sleep T-Shi Garnet Stone L</t>
  </si>
  <si>
    <t>762120072410</t>
  </si>
  <si>
    <t>Charter Club Ribbed Henley Pajama Top Dove Grey XL</t>
  </si>
  <si>
    <t>762120072472</t>
  </si>
  <si>
    <t>Charter Club Ribbed Henley Pajama Top Dove Grey XXL</t>
  </si>
  <si>
    <t>762120072366</t>
  </si>
  <si>
    <t>Charter Club Cotton Solid Cropped Pajama Pa Classic Black XXL</t>
  </si>
  <si>
    <t>714370095084</t>
  </si>
  <si>
    <t>Flora by Flora Nikrooz Stella Charmeuse Venise Trim R Black LXL</t>
  </si>
  <si>
    <t>733003605827</t>
  </si>
  <si>
    <t>Family Pajamas 1-Pc. Red Check Printed Pajama Red Buff Check S</t>
  </si>
  <si>
    <t>8 REG</t>
  </si>
  <si>
    <t>766360408992</t>
  </si>
  <si>
    <t>INC International Concepts INC International Concepts Lac Mixed Tiedye XXL</t>
  </si>
  <si>
    <t>100144815MS</t>
  </si>
  <si>
    <t>766360408961</t>
  </si>
  <si>
    <t>INC International Concepts INC International Concepts Lac Mixed Tiedye L</t>
  </si>
  <si>
    <t>766360408985</t>
  </si>
  <si>
    <t>INC International Concepts INC International Concepts Lac Mixed Tiedye XL</t>
  </si>
  <si>
    <t>762120526739</t>
  </si>
  <si>
    <t>INC International Concepts Lace-Trim Cami Shorts Pajama Butterfly M</t>
  </si>
  <si>
    <t>100144371MS</t>
  </si>
  <si>
    <t>762120526722</t>
  </si>
  <si>
    <t>INC International Concepts Lace-Trim Cami Shorts Pajama Butterfly S</t>
  </si>
  <si>
    <t>762120526760</t>
  </si>
  <si>
    <t>INC International Concepts Lace-Trim Cami Shorts Pajama Butterfly XXL</t>
  </si>
  <si>
    <t>733003813192</t>
  </si>
  <si>
    <t>INC International Concepts Lace-Trim Cami Shorts Pajama Botanical Bloom L</t>
  </si>
  <si>
    <t>100133407MS</t>
  </si>
  <si>
    <t>733004895869</t>
  </si>
  <si>
    <t>Jenni Solid Sleep Leggings Dusty Jade 2X</t>
  </si>
  <si>
    <t>733004895562</t>
  </si>
  <si>
    <t>Jenni Super-Soft Long-Sleeve Sleep T Washed White 2X</t>
  </si>
  <si>
    <t>733004896415</t>
  </si>
  <si>
    <t>Jenni Tie-Dyed Jogger Pajama Pants Rainbow Tie Dye M</t>
  </si>
  <si>
    <t>733004896163</t>
  </si>
  <si>
    <t>Jenni Printed Ribbed Wide-Leg Pajama Pastel Tie Dye S</t>
  </si>
  <si>
    <t>733004893155</t>
  </si>
  <si>
    <t>Jenni Ribbed Henley Pajama Top Parfait Pink L</t>
  </si>
  <si>
    <t>733004893032</t>
  </si>
  <si>
    <t>Jenni Ribbed Henley Pajama Top Calming Blue L</t>
  </si>
  <si>
    <t>733003863524</t>
  </si>
  <si>
    <t>Jenni Flannel Pajama Pants Soft Plaid M</t>
  </si>
  <si>
    <t>100124009WN</t>
  </si>
  <si>
    <t>EBERJEY INTIMATES</t>
  </si>
  <si>
    <t>714147479840</t>
  </si>
  <si>
    <t>Briefly Stated Mens Mickey Mouse Pajama Set Asst M</t>
  </si>
  <si>
    <t>MK474MLLMA</t>
  </si>
  <si>
    <t>733004249969</t>
  </si>
  <si>
    <t>Alfani Soft Long-Sleeve Sleep Top Classic Black XXL</t>
  </si>
  <si>
    <t>733002058785</t>
  </si>
  <si>
    <t>Alfani Solid Sleep Sweatshirt Heather Grey XXL</t>
  </si>
  <si>
    <t>100121788MS</t>
  </si>
  <si>
    <t>762120070263</t>
  </si>
  <si>
    <t>Alfani Colorblocked Pajama Top Pale Blue Mist XS</t>
  </si>
  <si>
    <t>733001180142</t>
  </si>
  <si>
    <t>Alfani Knit Pajama Pants Hy Grey Hthr XL</t>
  </si>
  <si>
    <t>733004470905</t>
  </si>
  <si>
    <t>Alfani Essential Jogger Pajama Pants Garnet Stone XL</t>
  </si>
  <si>
    <t>733002986958</t>
  </si>
  <si>
    <t>Alfani V-Neck Chemise Nightgown Tie Dye Stripe XS</t>
  </si>
  <si>
    <t>733003875077</t>
  </si>
  <si>
    <t>Charter Club Cotton Pointelle Sleep Cardiga Dove Grey Hthr XL</t>
  </si>
  <si>
    <t>100131616MS</t>
  </si>
  <si>
    <t>Charter Club V-Neck T-Shirt Flannel Pants Snow Village XXL</t>
  </si>
  <si>
    <t>100136653MS</t>
  </si>
  <si>
    <t>733004714597</t>
  </si>
  <si>
    <t>Charter Club Printed Cropped Cotton Pajama Floral Bunches XS</t>
  </si>
  <si>
    <t>762120072380</t>
  </si>
  <si>
    <t>Charter Club Ribbed Henley Pajama Top Dove Grey S</t>
  </si>
  <si>
    <t>732997155349</t>
  </si>
  <si>
    <t>Family Pajamas Plus Size Cotton Plaid Pajamas Stewart Plaid 2X</t>
  </si>
  <si>
    <t>100071133W</t>
  </si>
  <si>
    <t>733002860555</t>
  </si>
  <si>
    <t>INC International Concepts Lace-Trim Cami Shorts Sleep Tie-dye L</t>
  </si>
  <si>
    <t>733004894442</t>
  </si>
  <si>
    <t>Jenni Sleep Jogger Pants Washed White L</t>
  </si>
  <si>
    <t>733004894497</t>
  </si>
  <si>
    <t>Jenni Sleep Jogger Pants Dusty Jade M</t>
  </si>
  <si>
    <t>733004895029</t>
  </si>
  <si>
    <t>Jenni Lounge Hoodie Rainbow Tie Dye S</t>
  </si>
  <si>
    <t>100137339MS</t>
  </si>
  <si>
    <t>733002668335</t>
  </si>
  <si>
    <t>Jenni Lounge Shorts Animal S</t>
  </si>
  <si>
    <t>100121078MS</t>
  </si>
  <si>
    <t>733004896156</t>
  </si>
  <si>
    <t>Jenni Printed Ribbed Wide-Leg Pajama Pastel Tie Dye XS</t>
  </si>
  <si>
    <t>100121076MS</t>
  </si>
  <si>
    <t>733002668212</t>
  </si>
  <si>
    <t>Jenni Lounge Shorts Marina XL</t>
  </si>
  <si>
    <t>733004017858</t>
  </si>
  <si>
    <t>Jenni Printed Sleep Shirt Constellation M</t>
  </si>
  <si>
    <t>733004510649</t>
  </si>
  <si>
    <t>Jenni Printed Sleep Shirt Constellation XXL</t>
  </si>
  <si>
    <t>733004510632</t>
  </si>
  <si>
    <t>Jenni Printed Sleep Shirt Camo Green XXL</t>
  </si>
  <si>
    <t>733004893087</t>
  </si>
  <si>
    <t>Jenni Ribbed Henley Pajama Top Lilac Whisper M</t>
  </si>
  <si>
    <t>733004713699</t>
  </si>
  <si>
    <t>Jenni Ribbed Chemise Nightgown Rainbow Tie Dye XL</t>
  </si>
  <si>
    <t>732994870672</t>
  </si>
  <si>
    <t>Jenni Core Drawstring Pajama Shorts Dream Script L</t>
  </si>
  <si>
    <t>732994870665</t>
  </si>
  <si>
    <t>Jenni Core Drawstring Pajama Shorts Dream Script M</t>
  </si>
  <si>
    <t>RZ9IXP6</t>
  </si>
  <si>
    <t>671478825411</t>
  </si>
  <si>
    <t>Insomniax Printed Velour Thermal Pajama Sky Blue XL</t>
  </si>
  <si>
    <t>671478825343</t>
  </si>
  <si>
    <t>Insomniax Printed Velour Thermal Pajama Heather Grey S</t>
  </si>
  <si>
    <t>671478825404</t>
  </si>
  <si>
    <t>Insomniax Printed Velour Thermal Pajama Red XL</t>
  </si>
  <si>
    <t>671478825527</t>
  </si>
  <si>
    <t>Insomniax Yummy Pajama Pants Blue XL</t>
  </si>
  <si>
    <t>R87D679</t>
  </si>
  <si>
    <t>100127165MS</t>
  </si>
  <si>
    <t>100131595MS</t>
  </si>
  <si>
    <t>Calvin Klein Invisible Comfort Mesh Lift Ra Black S</t>
  </si>
  <si>
    <t>733004894428</t>
  </si>
  <si>
    <t>Jenni Sleep Jogger Pants Washed White S</t>
  </si>
  <si>
    <t>26718834881</t>
  </si>
  <si>
    <t>Roudelain Printed Button Top Shorts Pa Weathered Shibori White L</t>
  </si>
  <si>
    <t>769137295245</t>
  </si>
  <si>
    <t>Cuddl Duds T-Shirt Shorts Pajama Set Pink Aqua L</t>
  </si>
  <si>
    <t>733004756559</t>
  </si>
  <si>
    <t>Alfani Super Soft Modal Basic Long Sl Garnet Stone XXL</t>
  </si>
  <si>
    <t>100144069MS</t>
  </si>
  <si>
    <t>732998621041</t>
  </si>
  <si>
    <t>Alfani Super-Soft Knit Sleep T-Shirt Grey Heather XXL</t>
  </si>
  <si>
    <t>732998620983</t>
  </si>
  <si>
    <t>Alfani Super-Soft Knit Sleep T-Shirt Grey Heather XS</t>
  </si>
  <si>
    <t>733003871772</t>
  </si>
  <si>
    <t>Charter Club V-Neck T-Shirt Flannel Pants Polka Dots L</t>
  </si>
  <si>
    <t>762120577465</t>
  </si>
  <si>
    <t>Charter Club Cotton Cropped Woven Pajama Pa Summer Plaid XL</t>
  </si>
  <si>
    <t>762120072250</t>
  </si>
  <si>
    <t>Charter Club Cotton Solid Cropped Pajama Pa Classic Black XS</t>
  </si>
  <si>
    <t>DK6001</t>
  </si>
  <si>
    <t>733003634551</t>
  </si>
  <si>
    <t>Family Pajamas x Red Buff Check XL</t>
  </si>
  <si>
    <t>733003634544</t>
  </si>
  <si>
    <t>Family Pajamas x Red Buff Check L</t>
  </si>
  <si>
    <t>100127327W</t>
  </si>
  <si>
    <t>733003605841</t>
  </si>
  <si>
    <t>Family Pajamas 1-Pc. Red Check Printed Pajama Red Buff Check L</t>
  </si>
  <si>
    <t>4-5</t>
  </si>
  <si>
    <t>766360408879</t>
  </si>
  <si>
    <t>INC International Concepts INC International Concepts Lac Mixed Tiedye M</t>
  </si>
  <si>
    <t>762120526944</t>
  </si>
  <si>
    <t>INC International Concepts Lace-Trim Cami Shorts Pajama Mixed Tiedye XXL</t>
  </si>
  <si>
    <t>762120526715</t>
  </si>
  <si>
    <t>INC International Concepts Lace-Trim Cami Shorts Pajama Butterfly XS</t>
  </si>
  <si>
    <t>762120526746</t>
  </si>
  <si>
    <t>INC International Concepts Lace-Trim Cami Shorts Pajama Butterfly L</t>
  </si>
  <si>
    <t>762120526753</t>
  </si>
  <si>
    <t>INC International Concepts Lace-Trim Cami Shorts Pajama Butterfly XL</t>
  </si>
  <si>
    <t>762120526807</t>
  </si>
  <si>
    <t>INC International Concepts Lace-Trim Cami Shorts Pajama Faded Leo L</t>
  </si>
  <si>
    <t>100144372MS</t>
  </si>
  <si>
    <t>762120526821</t>
  </si>
  <si>
    <t>INC International Concepts Lace-Trim Cami Shorts Pajama Faded Leo XXL</t>
  </si>
  <si>
    <t>733004821097</t>
  </si>
  <si>
    <t>INC International Concepts Lace-Trim Cami Shorts Pajama Ski Patrol L</t>
  </si>
  <si>
    <t>100117214MS</t>
  </si>
  <si>
    <t>733004894466</t>
  </si>
  <si>
    <t>Jenni Sleep Jogger Pants Washed White XXL</t>
  </si>
  <si>
    <t>769137481594</t>
  </si>
  <si>
    <t>Cuddl Duds Printed Top Jogger Pants Paj Pink Print S</t>
  </si>
  <si>
    <t>733004756542</t>
  </si>
  <si>
    <t>Alfani Super Soft Modal Basic Long Sl Garnet Stone XL</t>
  </si>
  <si>
    <t>762120564076</t>
  </si>
  <si>
    <t>Alfani Printed Sleep Top Funky Anml Orch XL</t>
  </si>
  <si>
    <t>762120563765</t>
  </si>
  <si>
    <t>Alfani Printed Sleep Top Funky Anml Orch M</t>
  </si>
  <si>
    <t>762120535076</t>
  </si>
  <si>
    <t>Alfani Super Soft Wide-Leg Pajama Pan Classic Black L</t>
  </si>
  <si>
    <t>762120070416</t>
  </si>
  <si>
    <t>Alfani Colorblocked Pajama Jogger Pan Pale Blue Mist L</t>
  </si>
  <si>
    <t>733003488918</t>
  </si>
  <si>
    <t>Alfani Hacci Lounge Hoodie Night Shadow M</t>
  </si>
  <si>
    <t>733004468933</t>
  </si>
  <si>
    <t>Alfani Long-Sleeve Pocket Sleep T-Shi Garnet Stone S</t>
  </si>
  <si>
    <t>733001943501</t>
  </si>
  <si>
    <t>Alfani Plus Size Sleep T-Shirt Hy Grey Hthr 3X</t>
  </si>
  <si>
    <t>100090177WN</t>
  </si>
  <si>
    <t>732998621003</t>
  </si>
  <si>
    <t>Alfani Super-Soft Knit Sleep T-Shirt Grey Heather M</t>
  </si>
  <si>
    <t>732998620990</t>
  </si>
  <si>
    <t>Alfani Super-Soft Knit Sleep T-Shirt Grey Heather S</t>
  </si>
  <si>
    <t>14671845594</t>
  </si>
  <si>
    <t>Maidenform The One Fab Fit T-Back Lace Br White 36D</t>
  </si>
  <si>
    <t>762120577472</t>
  </si>
  <si>
    <t>Charter Club Cotton Cropped Woven Pajama Pa Summer Plaid XXL</t>
  </si>
  <si>
    <t>762120072403</t>
  </si>
  <si>
    <t>Charter Club Ribbed Henley Pajama Top Dove Grey L</t>
  </si>
  <si>
    <t>762120072359</t>
  </si>
  <si>
    <t>Charter Club Cotton Solid Cropped Pajama Pa Classic Black XL</t>
  </si>
  <si>
    <t>762120072335</t>
  </si>
  <si>
    <t>Charter Club Cotton Solid Cropped Pajama Pa Classic Black M</t>
  </si>
  <si>
    <t>TCZ449</t>
  </si>
  <si>
    <t>MEY110</t>
  </si>
  <si>
    <t>762120526838</t>
  </si>
  <si>
    <t>INC International Concepts Lace-Trim Cami Shorts Pajama Mixed Tiedye XS</t>
  </si>
  <si>
    <t>762120526791</t>
  </si>
  <si>
    <t>INC International Concepts Lace-Trim Cami Shorts Pajama Faded Leo M</t>
  </si>
  <si>
    <t>762120526784</t>
  </si>
  <si>
    <t>INC International Concepts Lace-Trim Cami Shorts Pajama Faded Leo S</t>
  </si>
  <si>
    <t>762120526814</t>
  </si>
  <si>
    <t>INC International Concepts Lace-Trim Cami Shorts Pajama Faded Leo XL</t>
  </si>
  <si>
    <t>762120482486</t>
  </si>
  <si>
    <t>INC International Concepts Lace-Bodice Chiffon Chemise Lolite M</t>
  </si>
  <si>
    <t>762120482479</t>
  </si>
  <si>
    <t>INC International Concepts Lace-Bodice Chiffon Chemise Lolite S</t>
  </si>
  <si>
    <t>733004821110</t>
  </si>
  <si>
    <t>INC International Concepts Lace-Trim Cami Shorts Pajama Ski Patrol XXL</t>
  </si>
  <si>
    <t>733004017919</t>
  </si>
  <si>
    <t>Jenni Printed Sleep Shirt Plum Wine Td L</t>
  </si>
  <si>
    <t>733004894473</t>
  </si>
  <si>
    <t>Jenni Sleep Jogger Pants Dusty Jade XS</t>
  </si>
  <si>
    <t>733004896194</t>
  </si>
  <si>
    <t>Jenni Printed Ribbed Wide-Leg Pajama Pastel Tie Dye XL</t>
  </si>
  <si>
    <t>733004017797</t>
  </si>
  <si>
    <t>Jenni Printed Sleep Shirt Camo Green S</t>
  </si>
  <si>
    <t>733004017810</t>
  </si>
  <si>
    <t>Jenni Printed Sleep Shirt Camo Green L</t>
  </si>
  <si>
    <t>733003863333</t>
  </si>
  <si>
    <t>Jenni Solid Long-Sleeve Pajama Top Sleep Grey Hthr L</t>
  </si>
  <si>
    <t>192703052766</t>
  </si>
  <si>
    <t>Felina Velvety Sleep Tank Top Black L</t>
  </si>
  <si>
    <t>100144103MS</t>
  </si>
  <si>
    <t>762120534772</t>
  </si>
  <si>
    <t>Alfani Collared V-Neck Sleep Top Tnl Tiedye Jade L</t>
  </si>
  <si>
    <t>762120534796</t>
  </si>
  <si>
    <t>Alfani Collared V-Neck Sleep Top Tnl Tiedye Jade XXL</t>
  </si>
  <si>
    <t>762120565479</t>
  </si>
  <si>
    <t>Alfani Printed Jogger Sleep Pants Ntrl Tiedye Str XXL</t>
  </si>
  <si>
    <t>762120534604</t>
  </si>
  <si>
    <t>Alfani Printed Jogger Sleep Pants Funky Anml Orch M</t>
  </si>
  <si>
    <t>762120534611</t>
  </si>
  <si>
    <t>Alfani Printed Jogger Sleep Pants Funky Anml Orch L</t>
  </si>
  <si>
    <t>762120535045</t>
  </si>
  <si>
    <t>Alfani Super Soft Wide-Leg Pajama Pan Classic Black XS</t>
  </si>
  <si>
    <t>100132732MS</t>
  </si>
  <si>
    <t>762120070423</t>
  </si>
  <si>
    <t>Alfani Colorblocked Pajama Jogger Pan Pale Blue Mist XL</t>
  </si>
  <si>
    <t>733004468926</t>
  </si>
  <si>
    <t>Alfani Long-Sleeve Pocket Sleep T-Shi Garnet Stone XS</t>
  </si>
  <si>
    <t>733001943495</t>
  </si>
  <si>
    <t>Alfani Plus Size Sleep T-Shirt Hy Grey Hthr 2X</t>
  </si>
  <si>
    <t>100144142MS</t>
  </si>
  <si>
    <t>733002038275</t>
  </si>
  <si>
    <t>Charter Club V-Neck Sleep T-Shirt Dove Grey Hthr S</t>
  </si>
  <si>
    <t>766360408862</t>
  </si>
  <si>
    <t>INC International Concepts INC International Concepts Lac Mixed Tiedye S</t>
  </si>
  <si>
    <t>733002324750</t>
  </si>
  <si>
    <t>INC International Concepts Lace-Trim Cami Shorts Pajama Deep Black XL</t>
  </si>
  <si>
    <t>733004894503</t>
  </si>
  <si>
    <t>Jenni Sleep Jogger Pants Dusty Jade L</t>
  </si>
  <si>
    <t>733004895050</t>
  </si>
  <si>
    <t>Jenni Lounge Hoodie Rainbow Tie Dye XL</t>
  </si>
  <si>
    <t>733004713606</t>
  </si>
  <si>
    <t>Jenni Ribbed Chemise Nightgown Allover Heart S</t>
  </si>
  <si>
    <t>100136971MS</t>
  </si>
  <si>
    <t>671478824469</t>
  </si>
  <si>
    <t>Insomniax Long Sleeve Pajama Top Blue Camo M</t>
  </si>
  <si>
    <t>671478824629</t>
  </si>
  <si>
    <t>Insomniax Long Sleeve Pajama Top Blue Camo XL</t>
  </si>
  <si>
    <t>733003577902</t>
  </si>
  <si>
    <t>Alfani Super Soft Pajama Top Oatmeal Hthr XXL</t>
  </si>
  <si>
    <t>766360285951</t>
  </si>
  <si>
    <t>Alfani Pocket T-Shirt Tulip-Hem Sho Satin Pink XS</t>
  </si>
  <si>
    <t>766360285975</t>
  </si>
  <si>
    <t>Alfani Pocket T-Shirt Tulip-Hem Sho Satin Pink M</t>
  </si>
  <si>
    <t>733004168529</t>
  </si>
  <si>
    <t>Alfani Lounge Wrap Hy Charcoal Htr XS</t>
  </si>
  <si>
    <t>733002564583</t>
  </si>
  <si>
    <t>Alfani Thermal Sleep Pants Olive XS</t>
  </si>
  <si>
    <t>100130943MS</t>
  </si>
  <si>
    <t>733002499786</t>
  </si>
  <si>
    <t>Alfani Tank Top Animal XXL</t>
  </si>
  <si>
    <t>733003489748</t>
  </si>
  <si>
    <t>Alfani Hacci Jogger Pajama Pants Night Shadow XL</t>
  </si>
  <si>
    <t>19585774176</t>
  </si>
  <si>
    <t>Bali Desire Lace Underwire Bra 6543 Champagne Nude 5 38B</t>
  </si>
  <si>
    <t>19585774312</t>
  </si>
  <si>
    <t>Bali Desire Lace Underwire Bra 6543 Champagne Nude 5 36DD</t>
  </si>
  <si>
    <t>83626025428</t>
  </si>
  <si>
    <t>Vanity Fair Full-Figure Wireless Sports Br Midnight BlackFeather Grey 36DD</t>
  </si>
  <si>
    <t>83626025770</t>
  </si>
  <si>
    <t>Vanity Fair Full-Figure Wireless Sports Br Damask Neutral Nude 5 38D</t>
  </si>
  <si>
    <t>14671845549</t>
  </si>
  <si>
    <t>Maidenform The One Fab Fit T-Back Lace Br White 34C</t>
  </si>
  <si>
    <t>733004673603</t>
  </si>
  <si>
    <t>Charter Club Charter Club Hacci V-Neck Op Medieval Blue XXL</t>
  </si>
  <si>
    <t>732997125908</t>
  </si>
  <si>
    <t>Charter Club Cotton Flannel Sleep Shirt Tonal Plaid L</t>
  </si>
  <si>
    <t>733003875176</t>
  </si>
  <si>
    <t>Charter Club Cotton Pointelle Sleep Cardiga Ditsy Flrl Blue XL</t>
  </si>
  <si>
    <t>733003875053</t>
  </si>
  <si>
    <t>Charter Club Cotton Pointelle Sleep Cardiga Dove Grey Hthr M</t>
  </si>
  <si>
    <t>733003875046</t>
  </si>
  <si>
    <t>Charter Club Cotton Pointelle Sleep Cardiga Dove Grey Hthr S</t>
  </si>
  <si>
    <t>733002221462</t>
  </si>
  <si>
    <t>Charter Club Notched Collar Cotton Pajama S Mini Floral M</t>
  </si>
  <si>
    <t>100117453MS</t>
  </si>
  <si>
    <t>733003435554</t>
  </si>
  <si>
    <t>Charter Club Plus Size Crochet-Trim Cropped Multi Stripe 3X</t>
  </si>
  <si>
    <t>100131331WN</t>
  </si>
  <si>
    <t>733004107719</t>
  </si>
  <si>
    <t>Charter Club Soft Knit Pajama Set, Fairisle S</t>
  </si>
  <si>
    <t>100127884MS</t>
  </si>
  <si>
    <t>733004107696</t>
  </si>
  <si>
    <t>Charter Club Soft Knit Pajama Set, Lace Geo XXL</t>
  </si>
  <si>
    <t>100127883MS</t>
  </si>
  <si>
    <t>733004716867</t>
  </si>
  <si>
    <t>Charter Club Printed Long Sleeve Cotton Sle Tossed Roses XL</t>
  </si>
  <si>
    <t>100136674MS</t>
  </si>
  <si>
    <t>733004716331</t>
  </si>
  <si>
    <t>Charter Club Printed Long Sleeve Cotton Sle Ditsy Daisy XS</t>
  </si>
  <si>
    <t>100136673MS</t>
  </si>
  <si>
    <t>762120419918</t>
  </si>
  <si>
    <t>Charter Club Printed Cotton Sleep Shirt Peach Star Flower XS</t>
  </si>
  <si>
    <t>790812875070</t>
  </si>
  <si>
    <t>Calvin Klein Satin-Trim Sleep Pants Rebellious S</t>
  </si>
  <si>
    <t>790812827604</t>
  </si>
  <si>
    <t>Calvin Klein Ease Longsleeve Hoodie Black L</t>
  </si>
  <si>
    <t>608926805992</t>
  </si>
  <si>
    <t>Calvin Klein Womens Invisibles Comfort Plu Nymphs Thigh Nude 5 XL</t>
  </si>
  <si>
    <t>QF5785</t>
  </si>
  <si>
    <t>790812595770</t>
  </si>
  <si>
    <t>Calvin Klein Reconsidered Comfort Lounge Sl Punch Pink L</t>
  </si>
  <si>
    <t>QS6704</t>
  </si>
  <si>
    <t>790812595763</t>
  </si>
  <si>
    <t>Calvin Klein Reconsidered Comfort Lounge Sl Punch Pink M</t>
  </si>
  <si>
    <t>11531319271</t>
  </si>
  <si>
    <t>Calvin Klein Invisibles Mesh-Trim Thong QD3 Black L</t>
  </si>
  <si>
    <t>805546657226</t>
  </si>
  <si>
    <t>RETRO THONG</t>
  </si>
  <si>
    <t>9K1926</t>
  </si>
  <si>
    <t>805546613338</t>
  </si>
  <si>
    <t>ELINOR ORG THONG</t>
  </si>
  <si>
    <t>5E1184</t>
  </si>
  <si>
    <t>719544986397</t>
  </si>
  <si>
    <t>b.temptd Lace Encounter Chemise Nightgo Marsala XL</t>
  </si>
  <si>
    <t>195093027840</t>
  </si>
  <si>
    <t>b.temptd Womens b.active Sports Bralet Vintage Indigo M</t>
  </si>
  <si>
    <t>719544989114</t>
  </si>
  <si>
    <t>b.temptd b.adorable Lace-Waistband Thon Chili Pepper M</t>
  </si>
  <si>
    <t>888721355810</t>
  </si>
  <si>
    <t>U/WIRE BRA ALENA</t>
  </si>
  <si>
    <t>888721355773</t>
  </si>
  <si>
    <t>3546608653134</t>
  </si>
  <si>
    <t>89129225402</t>
  </si>
  <si>
    <t>LACE PERFECTION STRAPLES</t>
  </si>
  <si>
    <t>89129660067</t>
  </si>
  <si>
    <t>STRETCH LACE WIRLESS</t>
  </si>
  <si>
    <t>12214073695</t>
  </si>
  <si>
    <t>Wacoal Bodysuede Seamless Full-Figure French Nude Nude 5 40C</t>
  </si>
  <si>
    <t>12214267186</t>
  </si>
  <si>
    <t>Wacoal Bodysuede Seamless Full-Figure Ivory Nude 5 34DDD</t>
  </si>
  <si>
    <t>89129353631</t>
  </si>
  <si>
    <t>MODERN MESH CUT AND</t>
  </si>
  <si>
    <t>89129353815</t>
  </si>
  <si>
    <t>719544048309</t>
  </si>
  <si>
    <t>Wacoal Body by Wacoal Racerback Under Black 34DD</t>
  </si>
  <si>
    <t>786337098292</t>
  </si>
  <si>
    <t>Hanro Hanro Touch Feeling High Cut B Navy Small</t>
  </si>
  <si>
    <t>786337098322</t>
  </si>
  <si>
    <t>Hanro Hanro Touch Feeling High Cut B Navy X Large</t>
  </si>
  <si>
    <t>89129661163</t>
  </si>
  <si>
    <t>STRETCH LACE BRIEF</t>
  </si>
  <si>
    <t>89129353280</t>
  </si>
  <si>
    <t>NATURAL COMFORT</t>
  </si>
  <si>
    <t>761321222853</t>
  </si>
  <si>
    <t>Linea Donatella Mom Lace Trim Chemise and Embr Bisque S</t>
  </si>
  <si>
    <t>MOY091</t>
  </si>
  <si>
    <t>761321668798</t>
  </si>
  <si>
    <t>Linea Donatella Lace-Trim Hammered Satin Wrap Teal SM</t>
  </si>
  <si>
    <t>DPS030</t>
  </si>
  <si>
    <t>714370523389</t>
  </si>
  <si>
    <t>Flora by Flora Nikrooz Emilie Ribbed Sleep T-Shirt Light Blue M</t>
  </si>
  <si>
    <t>T90450</t>
  </si>
  <si>
    <t>714370499325</t>
  </si>
  <si>
    <t>Flora by Flora Nikrooz Kat Lace-Trimmed Knit Chemise Dark Grey S</t>
  </si>
  <si>
    <t>761321714280</t>
  </si>
  <si>
    <t>Linea Donatella Magnolia Lace-Trim Floral-Prin Black M</t>
  </si>
  <si>
    <t>714370550316</t>
  </si>
  <si>
    <t>ARISA CHEMISE</t>
  </si>
  <si>
    <t>Q81211</t>
  </si>
  <si>
    <t>SADDLE</t>
  </si>
  <si>
    <t>732997107133</t>
  </si>
  <si>
    <t>Family Pajamas Knit Mix It Pajamas Set Stewart Plaid XXL</t>
  </si>
  <si>
    <t>733003603847</t>
  </si>
  <si>
    <t>Family Pajamas Striped Waffle-Knit Pajamas Se Red Stripe L</t>
  </si>
  <si>
    <t>762120482547</t>
  </si>
  <si>
    <t>INC International Concepts Lace-Bodice Chiffon Chemise Divine Berry M</t>
  </si>
  <si>
    <t>762120482462</t>
  </si>
  <si>
    <t>INC International Concepts Lace-Bodice Chiffon Chemise Lolite XS</t>
  </si>
  <si>
    <t>733004821103</t>
  </si>
  <si>
    <t>INC International Concepts Lace-Trim Cami Shorts Pajama Ski Patrol XL</t>
  </si>
  <si>
    <t>733004820670</t>
  </si>
  <si>
    <t>INC International Concepts Lace-Back Printed Knit Chemise Ski Patrol XXL</t>
  </si>
  <si>
    <t>733004820625</t>
  </si>
  <si>
    <t>INC International Concepts Lace-Back Printed Knit Chemise Ski Patrol XS</t>
  </si>
  <si>
    <t>733004820663</t>
  </si>
  <si>
    <t>INC International Concepts Lace-Back Printed Knit Chemise Ski Patrol XL</t>
  </si>
  <si>
    <t>766360833992</t>
  </si>
  <si>
    <t>Jenni Lightning Bolt Pajama Set Black Lightning Bolt M</t>
  </si>
  <si>
    <t>766360834296</t>
  </si>
  <si>
    <t>Jenni Lightning Bolt Pajama Set Olive Lightning Bolt L</t>
  </si>
  <si>
    <t>733004894589</t>
  </si>
  <si>
    <t>Jenni Sleep Jogger Pants Marble - Rose XXL</t>
  </si>
  <si>
    <t>733003805135</t>
  </si>
  <si>
    <t>Jenni HOODED PJ TOP Bold Tiedye L</t>
  </si>
  <si>
    <t>733004893506</t>
  </si>
  <si>
    <t>Jenni Fuzzy Knit Sleep Pants Dusty Jade M</t>
  </si>
  <si>
    <t>733002634866</t>
  </si>
  <si>
    <t>Jenni Crinkle Lettuce-Edge Shorts Pa Seersucker Whte M</t>
  </si>
  <si>
    <t>100121083MS</t>
  </si>
  <si>
    <t>733004896408</t>
  </si>
  <si>
    <t>Jenni Tie-Dyed Jogger Pajama Pants Rainbow Tie Dye S</t>
  </si>
  <si>
    <t>733003868543</t>
  </si>
  <si>
    <t>100131287MS</t>
  </si>
  <si>
    <t>733002043385</t>
  </si>
  <si>
    <t>Jenni Sweatshirt Blue Tiedye S</t>
  </si>
  <si>
    <t>733002635023</t>
  </si>
  <si>
    <t>Jenni Lettuce-Edge Printed Shorts Pa Moon And Stars L</t>
  </si>
  <si>
    <t>733004893407</t>
  </si>
  <si>
    <t>Jenni Fuzzy Knit Sleep Crop Top Dusty Jade XL</t>
  </si>
  <si>
    <t>733004893384</t>
  </si>
  <si>
    <t>Jenni Fuzzy Knit Sleep Crop Top Dusty Jade M</t>
  </si>
  <si>
    <t>733004893414</t>
  </si>
  <si>
    <t>Jenni Fuzzy Knit Sleep Crop Top Dusty Jade XXL</t>
  </si>
  <si>
    <t>733004017872</t>
  </si>
  <si>
    <t>Jenni Printed Sleep Shirt Constellation XL</t>
  </si>
  <si>
    <t>733004018015</t>
  </si>
  <si>
    <t>Jenni Printed Sleep Shirt Nude Tiedye L</t>
  </si>
  <si>
    <t>733004018008</t>
  </si>
  <si>
    <t>Jenni Printed Sleep Shirt Nude Tiedye M</t>
  </si>
  <si>
    <t>732998933342</t>
  </si>
  <si>
    <t>Jenni Plus-Size Core Printed Short S Moon And Stars 2X</t>
  </si>
  <si>
    <t>733002307487</t>
  </si>
  <si>
    <t>Jenni Tank Shorts Pajama Set Coral S</t>
  </si>
  <si>
    <t>732998933397</t>
  </si>
  <si>
    <t>Jenni Plus-Size Core Pajama Shorts Moon And Stars 1X</t>
  </si>
  <si>
    <t>100087987WN</t>
  </si>
  <si>
    <t>732999085187</t>
  </si>
  <si>
    <t>Jenni Core Drawstring Pajama Shorts Moon And Stars XXL</t>
  </si>
  <si>
    <t>732994870696</t>
  </si>
  <si>
    <t>Jenni Core Drawstring Pajama Shorts Dream Script XXL</t>
  </si>
  <si>
    <t>732994870641</t>
  </si>
  <si>
    <t>Jenni Core Drawstring Pajama Shorts Dream Script XS</t>
  </si>
  <si>
    <t>733002452347</t>
  </si>
  <si>
    <t>Jenni Solid Ribbed Tank Top Cloud L</t>
  </si>
  <si>
    <t>889945261567</t>
  </si>
  <si>
    <t>Honeydew Sleep Sweater Hoodie Maple Hearts M</t>
  </si>
  <si>
    <t>889945229581</t>
  </si>
  <si>
    <t>Honeydew Honeydew Womens Sun Lover Lou Poptoile S</t>
  </si>
  <si>
    <t>889945233397</t>
  </si>
  <si>
    <t>Honeydew Honeydew Something Sweet Pajam Angelfish Dip-dye L</t>
  </si>
  <si>
    <t>26718814173</t>
  </si>
  <si>
    <t>Roudelain Tie-Dyed Hoodie Jogger Pants Tradewinds Tie Dye M</t>
  </si>
  <si>
    <t>716273382728</t>
  </si>
  <si>
    <t>DKNY Cropped Knit Jogger Pajama Pan Grey Stripe M</t>
  </si>
  <si>
    <t>Y3822440</t>
  </si>
  <si>
    <t>192703052568</t>
  </si>
  <si>
    <t>Felina Velvety Jogger Pajama Pants Black L</t>
  </si>
  <si>
    <t>26718814043</t>
  </si>
  <si>
    <t>Roudelain Printed Pajama Set Ballerina L</t>
  </si>
  <si>
    <t>92104617345</t>
  </si>
  <si>
    <t>26718934666</t>
  </si>
  <si>
    <t>Jaclyn Intimates Super-Soft Jogger Pants Pajama Pearl Blueevday Florals High L</t>
  </si>
  <si>
    <t>26718934901</t>
  </si>
  <si>
    <t>Jaclyn Intimates Super-Soft Jogger Pants Pajama Azalea Pinktidal Tie Dye Whit L</t>
  </si>
  <si>
    <t>26718735751</t>
  </si>
  <si>
    <t>Roudelain Ribbed Lettuce-Trim Shorts Paj Tie Dye Eggshell Blue M</t>
  </si>
  <si>
    <t>26718753496</t>
  </si>
  <si>
    <t>Roudelain Printed Tank Top Shorts Slee Wild Kitty XL</t>
  </si>
  <si>
    <t>888172716352</t>
  </si>
  <si>
    <t>Hue Scoop Neck Pajama T-Shirt Cameo Pink L</t>
  </si>
  <si>
    <t>PJ213208</t>
  </si>
  <si>
    <t>888172716345</t>
  </si>
  <si>
    <t>Hue Scoop Neck Pajama T-Shirt Cameo Pink M</t>
  </si>
  <si>
    <t>888172716338</t>
  </si>
  <si>
    <t>Hue Scoop Neck Pajama T-Shirt Cameo Pink S</t>
  </si>
  <si>
    <t>192703066008</t>
  </si>
  <si>
    <t>Felina Lassen Funnel-Neck Sweatshirt Grey S</t>
  </si>
  <si>
    <t>192703052742</t>
  </si>
  <si>
    <t>Felina Velvety Sleep Tank Top Black S</t>
  </si>
  <si>
    <t>26718853820</t>
  </si>
  <si>
    <t>Jaclyn Intimates Fuzzy Luxe Joggers Snowy Knit M</t>
  </si>
  <si>
    <t>EBJN167Z</t>
  </si>
  <si>
    <t>733004809934</t>
  </si>
  <si>
    <t>INC International Concepts Womens Lace Bralette Maraschino S</t>
  </si>
  <si>
    <t>733002292776</t>
  </si>
  <si>
    <t>Jenni Womens Wide Lace Hipster Unde Pink Fun M</t>
  </si>
  <si>
    <t>80225420272</t>
  </si>
  <si>
    <t>Miraclesuit Extra Firm Control Sheer Under Nude- Nude 01 38DD</t>
  </si>
  <si>
    <t>190491223795</t>
  </si>
  <si>
    <t>BLAIR TRAINER PANT</t>
  </si>
  <si>
    <t>Z1955S</t>
  </si>
  <si>
    <t>28266813332</t>
  </si>
  <si>
    <t>Miss Elaine Long Knit Nightgown Brown Leopard L</t>
  </si>
  <si>
    <t>28266813349</t>
  </si>
  <si>
    <t>Miss Elaine Long Knit Nightgown Brown Leopard XL</t>
  </si>
  <si>
    <t>28266813318</t>
  </si>
  <si>
    <t>Miss Elaine Long Knit Nightgown Brown Leopard S</t>
  </si>
  <si>
    <t>809709920288</t>
  </si>
  <si>
    <t>Cuddl Duds Solid Top Printed Pants Paja Htr Grey Print M</t>
  </si>
  <si>
    <t>192910259743</t>
  </si>
  <si>
    <t>Munki Munki Mens Snoopy Pajama Set Grey L</t>
  </si>
  <si>
    <t>192910240932</t>
  </si>
  <si>
    <t>Munki Munki Mean Girls Shorts Lounge Set Grey M</t>
  </si>
  <si>
    <t>192910259811</t>
  </si>
  <si>
    <t>Munki Munki Snoopy Pajama Set Grey M</t>
  </si>
  <si>
    <t>193666572858</t>
  </si>
  <si>
    <t>Splendid Striped T-Shirt Shorts Pajam Pale Violet XL</t>
  </si>
  <si>
    <t>194490195916</t>
  </si>
  <si>
    <t>Jockey Luxe Lounge Sleep T-Shirt Willow XL</t>
  </si>
  <si>
    <t>733003827458</t>
  </si>
  <si>
    <t>Alfani Velour Hoodie Pants Pajama S Purple Swan L</t>
  </si>
  <si>
    <t>733003829933</t>
  </si>
  <si>
    <t>Alfani French Terry Lounge Pajama Set Deep Malachite L</t>
  </si>
  <si>
    <t>733003811419</t>
  </si>
  <si>
    <t>Alfani Printed Pajamas Set Blue Night Sky S</t>
  </si>
  <si>
    <t>766370955189</t>
  </si>
  <si>
    <t>Alfani Pocket T-Shirt Tulip-Hem Sho Greenblue Slate M</t>
  </si>
  <si>
    <t>90563337620</t>
  </si>
  <si>
    <t>Bali Comfort Revolution ComfortFlex Light Beige Floral M</t>
  </si>
  <si>
    <t>617914098322</t>
  </si>
  <si>
    <t>Bali Comfort Revolution Front-Close Light Beige Nude 5 34D</t>
  </si>
  <si>
    <t>3P66</t>
  </si>
  <si>
    <t>733004244803</t>
  </si>
  <si>
    <t>Charter Club Plush Zigzag Long Wrap Robe Wine XLXXL</t>
  </si>
  <si>
    <t>733003871833</t>
  </si>
  <si>
    <t>Charter Club V-Neck T-Shirt Flannel Pants Snow Village L</t>
  </si>
  <si>
    <t>Charter Club V-Neck T-Shirt Flannel Pants Snow Village XL</t>
  </si>
  <si>
    <t>733003871765</t>
  </si>
  <si>
    <t>Charter Club V-Neck T-Shirt Flannel Pants Polka Dots M</t>
  </si>
  <si>
    <t>733003872724</t>
  </si>
  <si>
    <t>Charter Club Printed Cotton Pajamas Set Snow Village S</t>
  </si>
  <si>
    <t>733003872755</t>
  </si>
  <si>
    <t>Charter Club Printed Cotton Pajamas Set Snow Village XL</t>
  </si>
  <si>
    <t>733003872762</t>
  </si>
  <si>
    <t>Charter Club Printed Cotton Pajamas Set Snow Village XXL</t>
  </si>
  <si>
    <t>733003872748</t>
  </si>
  <si>
    <t>Charter Club Printed Cotton Pajamas Set Snow Village L</t>
  </si>
  <si>
    <t>733003968007</t>
  </si>
  <si>
    <t>Charter Club Fleece Notch-Collar Pajama Set Snowflake XL</t>
  </si>
  <si>
    <t>100128042MS</t>
  </si>
  <si>
    <t>733004107917</t>
  </si>
  <si>
    <t>Charter Club Soft Knit Pajama Set, Holly Bird L</t>
  </si>
  <si>
    <t>733003435868</t>
  </si>
  <si>
    <t>Charter Club Cotton Crochet-Trim Top Crop Flower Geo XL</t>
  </si>
  <si>
    <t>733004108143</t>
  </si>
  <si>
    <t>Charter Club Soft Knit Sleep Shirt Foil Dot M</t>
  </si>
  <si>
    <t>732999863846</t>
  </si>
  <si>
    <t>Charter Club V-neck Sleep T-Shirt Classic Black S</t>
  </si>
  <si>
    <t>790812821046</t>
  </si>
  <si>
    <t>Calvin Klein Womens Plus Size Invisibles V Topaz 2X</t>
  </si>
  <si>
    <t>11531891302</t>
  </si>
  <si>
    <t>Calvin Klein x Josephine Nude 4 S</t>
  </si>
  <si>
    <t>195093027949</t>
  </si>
  <si>
    <t>b.temptd Womens b.active Sport Crop To Lilac Gray M</t>
  </si>
  <si>
    <t>714370575548</t>
  </si>
  <si>
    <t>Flora by Flora Nikrooz Jenna Printed Sweater-Knit Paj Charcoal L</t>
  </si>
  <si>
    <t>828099004972</t>
  </si>
  <si>
    <t>iCollection iCollection Womens Ultra Soft Black 12X</t>
  </si>
  <si>
    <t>7916X</t>
  </si>
  <si>
    <t>761321690478</t>
  </si>
  <si>
    <t>Linea Donatella New Tigertail Animal-Print Wra Brown SM</t>
  </si>
  <si>
    <t>NTT130</t>
  </si>
  <si>
    <t>761321689427</t>
  </si>
  <si>
    <t>Linea Donatella Floral Batik Printed Wrapper Black LXL</t>
  </si>
  <si>
    <t>733003605254</t>
  </si>
  <si>
    <t>Family Pajamas x Elfing Merry XL</t>
  </si>
  <si>
    <t>733003605551</t>
  </si>
  <si>
    <t>Family Pajamas x Bah Humbug M</t>
  </si>
  <si>
    <t>732997107171</t>
  </si>
  <si>
    <t>Family Pajamas 2-Pc. Solid Top Plaid Pants Brinkley Plaid L</t>
  </si>
  <si>
    <t>733002952861</t>
  </si>
  <si>
    <t>Family Pajamas Toddler, Little Big Kids 2-P Merry Red 8</t>
  </si>
  <si>
    <t>732994110006</t>
  </si>
  <si>
    <t>Family Pajamas Matching Family Pajamas Infant Stewart Plaid 24 months</t>
  </si>
  <si>
    <t>B100030903</t>
  </si>
  <si>
    <t>733002966479</t>
  </si>
  <si>
    <t>Family Pajamas Baby Xmas Trees Printed Footed Xmas Trees 24 months</t>
  </si>
  <si>
    <t>733003608286</t>
  </si>
  <si>
    <t>Family Pajamas Elfing Cotton Printed Pet Band Elfing Merry LXL</t>
  </si>
  <si>
    <t>733001314448</t>
  </si>
  <si>
    <t>Jenni Hooded Velour Printed Unionsui Classic Plaid S</t>
  </si>
  <si>
    <t>100103566MS</t>
  </si>
  <si>
    <t>733004895043</t>
  </si>
  <si>
    <t>Jenni Lounge Hoodie Rainbow Tie Dye L</t>
  </si>
  <si>
    <t>Jenni HOODED PJ TOP Sunny Lime XXL</t>
  </si>
  <si>
    <t>733003110970</t>
  </si>
  <si>
    <t>Jenni Lounge Top Baby Blue XS</t>
  </si>
  <si>
    <t>100136267MS</t>
  </si>
  <si>
    <t>733003111014</t>
  </si>
  <si>
    <t>Jenni Lounge Top Baby Blue XL</t>
  </si>
  <si>
    <t>733001786047</t>
  </si>
  <si>
    <t>Jenni Printed Long Chemise Nightgown Distrss Hrt Red XL</t>
  </si>
  <si>
    <t>100116408MS</t>
  </si>
  <si>
    <t>733001786108</t>
  </si>
  <si>
    <t>Jenni Printed Long Chemise Nightgown Sleep Script XL</t>
  </si>
  <si>
    <t>100116409MS</t>
  </si>
  <si>
    <t>732998933304</t>
  </si>
  <si>
    <t>Jenni Plus-Size Core Printed Short S Sleep Well 1X</t>
  </si>
  <si>
    <t>100087972WN</t>
  </si>
  <si>
    <t>86569322203</t>
  </si>
  <si>
    <t>INKIVY INKIVY Womens Notch Top and Red S</t>
  </si>
  <si>
    <t>716273382902</t>
  </si>
  <si>
    <t>DKNY Contrast-Trim Sleep T-Shirt Black XL</t>
  </si>
  <si>
    <t>Y2422440</t>
  </si>
  <si>
    <t>716273382889</t>
  </si>
  <si>
    <t>DKNY Contrast-Trim Sleep T-Shirt Black M</t>
  </si>
  <si>
    <t>671478824711</t>
  </si>
  <si>
    <t>Insomniax Long Sleeve Pajama Top Cloud L</t>
  </si>
  <si>
    <t>671478816365</t>
  </si>
  <si>
    <t>Insomniax Long Sleeve Pajama Top Black XL</t>
  </si>
  <si>
    <t>671478816938</t>
  </si>
  <si>
    <t>Insomniax Butter Jersey Printed Jogger P Sage L</t>
  </si>
  <si>
    <t>192703060402</t>
  </si>
  <si>
    <t>Felina Taylor Jogger Pajama Pants Gray XL</t>
  </si>
  <si>
    <t>26718885234</t>
  </si>
  <si>
    <t>Roudelain Whisper Luxe Short-Sleeve Top Azalea Pink Spacedyedoodle Va M</t>
  </si>
  <si>
    <t>192703042309</t>
  </si>
  <si>
    <t>Felina High-Waist Leggings Black XL</t>
  </si>
  <si>
    <t>192703051936</t>
  </si>
  <si>
    <t>Felina Sleep Shorts Sky M</t>
  </si>
  <si>
    <t>26718813732</t>
  </si>
  <si>
    <t>Jaclyn Intimates Ultra soft for your ultimate c Tradewinds M</t>
  </si>
  <si>
    <t>26718789983</t>
  </si>
  <si>
    <t>Jaclyn Intimates Super-Soft Jogger Pants Pajama Tradewindsbiggest Star White L</t>
  </si>
  <si>
    <t>26718813725</t>
  </si>
  <si>
    <t>Jaclyn Intimates Ultra soft for your ultimate c Tradewinds L</t>
  </si>
  <si>
    <t>889835320534</t>
  </si>
  <si>
    <t>GOODNIGHT KISS Solid Top, Printed Pants Fau Pink Floral M</t>
  </si>
  <si>
    <t>26718798664</t>
  </si>
  <si>
    <t>Roudelain 2-Pk. Sleep Shorts Daydream Tie Dye Therese Stri XL</t>
  </si>
  <si>
    <t>26718865816</t>
  </si>
  <si>
    <t>Roudelain Little Kid 2-Pc. Yummy True St Magazine Stripe Whitegrey Blu L</t>
  </si>
  <si>
    <t>889835324914</t>
  </si>
  <si>
    <t>Muk Luks Plus Size Printed Fleece Pajam Polar Bear 1X</t>
  </si>
  <si>
    <t>G121310X</t>
  </si>
  <si>
    <t>26718851147</t>
  </si>
  <si>
    <t>Jaclyn Intimates Whisper Luxe Lounge Jogger Pan Grateful Pink M</t>
  </si>
  <si>
    <t>889835324792</t>
  </si>
  <si>
    <t>Muk Luks Printed Fleece Pajama Pants Deer XL</t>
  </si>
  <si>
    <t>889835324822</t>
  </si>
  <si>
    <t>Muk Luks Printed Fleece Pajama Pants Polar Bear L</t>
  </si>
  <si>
    <t>194173082779</t>
  </si>
  <si>
    <t>The Grinch Grinch Pet Bandana Red XSS</t>
  </si>
  <si>
    <t>DF21355PC</t>
  </si>
  <si>
    <t>17326929113</t>
  </si>
  <si>
    <t>Bali OSU All Over Smoothing Hipster White 9</t>
  </si>
  <si>
    <t>2H63</t>
  </si>
  <si>
    <t>733001628514</t>
  </si>
  <si>
    <t>Jenni Womens Lace-Trim Thong Tonal Leo XXXL</t>
  </si>
  <si>
    <t>843953331001</t>
  </si>
  <si>
    <t>SPANX Undie-tectable Lace Hi-Hipster Bordeaux M</t>
  </si>
  <si>
    <t>SP0515</t>
  </si>
  <si>
    <t>843953331018</t>
  </si>
  <si>
    <t>SPANX Undie-tectable Lace Hi-Hipster Bordeaux L</t>
  </si>
  <si>
    <t>843953330998</t>
  </si>
  <si>
    <t>SPANX Undie-tectable Lace Hi-Hipster Bordeaux S</t>
  </si>
  <si>
    <t>843953331025</t>
  </si>
  <si>
    <t>SPANX Undie-tectable Lace Hi-Hipster Bordeaux XL</t>
  </si>
  <si>
    <t>843953330981</t>
  </si>
  <si>
    <t>SPANX Undie-tectable Lace Hi-Hipster Bordeaux XS</t>
  </si>
  <si>
    <t>889945248353</t>
  </si>
  <si>
    <t>STAY INSIDE SET</t>
  </si>
  <si>
    <t>55% VISCOSE/45% NYLON</t>
  </si>
  <si>
    <t>769137481051</t>
  </si>
  <si>
    <t>Cuddl Duds Printed Pajama Set Grey Stp XL</t>
  </si>
  <si>
    <t>192910259378</t>
  </si>
  <si>
    <t>Munki Munki Kids Vintage Snoopy Friends Pa Orange M</t>
  </si>
  <si>
    <t>NMK00203</t>
  </si>
  <si>
    <t>192910260497</t>
  </si>
  <si>
    <t>Munki Munki Baby 1-Pc. Star Wars Holiday T Grey 24M</t>
  </si>
  <si>
    <t>NMK00192</t>
  </si>
  <si>
    <t>194490324842</t>
  </si>
  <si>
    <t>Jockey Luxe Lounge Sleep T-Shirt Crushed Cranberry M</t>
  </si>
  <si>
    <t>Briefly Stated Big Girls Minnie Mouse Holiday Asst Kids-4</t>
  </si>
  <si>
    <t>714147485186</t>
  </si>
  <si>
    <t>Briefly Stated Toddler Girls Minnie Mouse Hol Asst 4T</t>
  </si>
  <si>
    <t>MK734TLLMA</t>
  </si>
  <si>
    <t>714147485162</t>
  </si>
  <si>
    <t>Briefly Stated Toddler Girls Minnie Mouse Hol Asst 2T</t>
  </si>
  <si>
    <t>2T</t>
  </si>
  <si>
    <t>888368305032</t>
  </si>
  <si>
    <t>Dreamgirl Dreamgirl Womens Draped Fring Purple M</t>
  </si>
  <si>
    <t>732999344710</t>
  </si>
  <si>
    <t>DRAFT - EMB MESH SHORT SET Washed White XL</t>
  </si>
  <si>
    <t>732999344598</t>
  </si>
  <si>
    <t>DRAFT - EMB MESH CHEMISE Washed White XS</t>
  </si>
  <si>
    <t>732999344635</t>
  </si>
  <si>
    <t>DRAFT - EMB MESH CHEMISE Washed White XL</t>
  </si>
  <si>
    <t>733003181536</t>
  </si>
  <si>
    <t>Alfani V-Neck Chemise Nightgown Zebra XXL</t>
  </si>
  <si>
    <t>761321715744</t>
  </si>
  <si>
    <t>Linea Donatella Comfort Zone Printed Hacci Paj Purple L</t>
  </si>
  <si>
    <t>761321715737</t>
  </si>
  <si>
    <t>Linea Donatella Comfort Zone Printed Hacci Paj Purple M</t>
  </si>
  <si>
    <t>100122035MS</t>
  </si>
  <si>
    <t>733004894480</t>
  </si>
  <si>
    <t>Jenni Sleep Jogger Pants Dusty Jade S</t>
  </si>
  <si>
    <t>192703060389</t>
  </si>
  <si>
    <t>Felina Taylor Jogger Pajama Pants Gray M</t>
  </si>
  <si>
    <t>733001330363</t>
  </si>
  <si>
    <t>Alfani French Terry Lounge Pajama Set Grey Taupe M</t>
  </si>
  <si>
    <t>733004168468</t>
  </si>
  <si>
    <t>Alfani Lounge Wrap Night Shadow XS</t>
  </si>
  <si>
    <t>733002668649</t>
  </si>
  <si>
    <t>Alfani Piping Trim Tank Shorts Paja Bridal Rose S</t>
  </si>
  <si>
    <t>733003181796</t>
  </si>
  <si>
    <t>Alfani Tie-Dyed Tank Nightgown Stripe S</t>
  </si>
  <si>
    <t>733003488925</t>
  </si>
  <si>
    <t>Alfani Hacci Lounge Hoodie Night Shadow L</t>
  </si>
  <si>
    <t>733003489700</t>
  </si>
  <si>
    <t>Alfani Hacci Jogger Pajama Pants Night Shadow XS</t>
  </si>
  <si>
    <t>733003489458</t>
  </si>
  <si>
    <t>Alfani Printed Hacci Pajama Top Grey Dots L</t>
  </si>
  <si>
    <t>100128353MS</t>
  </si>
  <si>
    <t>733003489489</t>
  </si>
  <si>
    <t>Alfani Printed Hacci Pajama Top Animal XS</t>
  </si>
  <si>
    <t>100128354MS</t>
  </si>
  <si>
    <t>733003489625</t>
  </si>
  <si>
    <t>Alfani Printed Hacci Pajama Top Animal XL</t>
  </si>
  <si>
    <t>733003012557</t>
  </si>
  <si>
    <t>Alfani Super-Soft Knit Sleep T-Shirt Oatmeal Ht XL</t>
  </si>
  <si>
    <t>42714300731</t>
  </si>
  <si>
    <t>Playtex Perfectly Smooth Underwire Bra Nude Stripe- Nude 01 38C</t>
  </si>
  <si>
    <t>733003684303</t>
  </si>
  <si>
    <t>Charter Club Lace-Trim Printed Pajama Set Medieval B XL</t>
  </si>
  <si>
    <t>100137539MS</t>
  </si>
  <si>
    <t>733001202622</t>
  </si>
  <si>
    <t>Charter Club Cotton Button-Front Top Bott Mini Floral XL</t>
  </si>
  <si>
    <t>733003872038</t>
  </si>
  <si>
    <t>Charter Club V-Neck T-Shirt Flannel Pants Deer Scroll XXL</t>
  </si>
  <si>
    <t>100132452MS</t>
  </si>
  <si>
    <t>733003968731</t>
  </si>
  <si>
    <t>Charter Club Plus Size Fleece Notch-Collar Regal Scroll 3X</t>
  </si>
  <si>
    <t>100128040WN</t>
  </si>
  <si>
    <t>733004714603</t>
  </si>
  <si>
    <t>Charter Club Printed Cropped Cotton Pajama Floral Bunches S</t>
  </si>
  <si>
    <t>733003684662</t>
  </si>
  <si>
    <t>Charter Club Printed Cotton Knit Pajama Pan Artistic Floral M</t>
  </si>
  <si>
    <t>733002899951</t>
  </si>
  <si>
    <t>Charter Club V-Neck Sleep T-Shirt Smoke Green XS</t>
  </si>
  <si>
    <t>790812875285</t>
  </si>
  <si>
    <t>Calvin Klein Pure Lounge Long Sleeve Hoodie Fresh Pink Heather M</t>
  </si>
  <si>
    <t>790812875278</t>
  </si>
  <si>
    <t>Calvin Klein Pure Lounge Long Sleeve Hoodie Fresh Pink Heather S</t>
  </si>
  <si>
    <t>790812401439</t>
  </si>
  <si>
    <t>Calvin Klein Invisible Comfort Mesh Lift Ra Black L</t>
  </si>
  <si>
    <t>790812824115</t>
  </si>
  <si>
    <t>Calvin Klein Womens Perfectly Fit Flex Pop Bleached Denim 34C</t>
  </si>
  <si>
    <t>11531769564</t>
  </si>
  <si>
    <t>Calvin Klein Perfectly Fit Modern T-Shirt B Duffel Bag 38DD</t>
  </si>
  <si>
    <t>790812827208</t>
  </si>
  <si>
    <t>Calvin Klein Pure Ribbed Tank Top Barely Pink M</t>
  </si>
  <si>
    <t>790812575390</t>
  </si>
  <si>
    <t>Calvin Klein Womens Pure Ribbed Cheeky Bik Lilac Rain M</t>
  </si>
  <si>
    <t>790812821220</t>
  </si>
  <si>
    <t>Calvin Klein Womens Modern Cotton Brazilia Charcoal Heather L</t>
  </si>
  <si>
    <t>790812580721</t>
  </si>
  <si>
    <t>Calvin Klein Womens Lace-Trim Bikini Under Polished Blue S</t>
  </si>
  <si>
    <t>790812818190</t>
  </si>
  <si>
    <t>Calvin Klein Womens Lace-Trim Bikini Under Buff Beige XL</t>
  </si>
  <si>
    <t>790812818176</t>
  </si>
  <si>
    <t>Calvin Klein Womens Lace-Trim Bikini Under Buff Beige M</t>
  </si>
  <si>
    <t>790812691649</t>
  </si>
  <si>
    <t>Calvin Klein Womens Lace-Trim Thong QD3705 Prepster Blue M</t>
  </si>
  <si>
    <t>90563818648</t>
  </si>
  <si>
    <t>DKNY Long Light Control Camisole DK Cashmere- Nude 01 S</t>
  </si>
  <si>
    <t>829284110805</t>
  </si>
  <si>
    <t>Natori French-Cut Lace-Trim Brief 152 Nimbus XL</t>
  </si>
  <si>
    <t>BODY: PIMA COTTON/LYCRAÂ® SPANDEX; LACE: NYLON/LYCRAÂ® SPANDEX; GUSSET: COTTON</t>
  </si>
  <si>
    <t>12214381561</t>
  </si>
  <si>
    <t>Wacoal Bodysuede Ultra Full-Figure Br Sand Nude 5 42D</t>
  </si>
  <si>
    <t>195093055669</t>
  </si>
  <si>
    <t>NET PERFECTION HI W</t>
  </si>
  <si>
    <t>LACE: 84% NYLON/16% SPANDEX; MESH: 88% NYLON/12% SPANDEX; BAND: 89% NYLON/11% SPANDEX; GUSSET: 100% COTTON</t>
  </si>
  <si>
    <t>719544826112</t>
  </si>
  <si>
    <t>SUBTLE BEAUTY BRIEF</t>
  </si>
  <si>
    <t>89129367546</t>
  </si>
  <si>
    <t>STRING BIKINI</t>
  </si>
  <si>
    <t>G1224</t>
  </si>
  <si>
    <t>67% NYLON/33% SPANDEX</t>
  </si>
  <si>
    <t>89129644098</t>
  </si>
  <si>
    <t>HIP BIKINI</t>
  </si>
  <si>
    <t>100% NYLON</t>
  </si>
  <si>
    <t>714370601698</t>
  </si>
  <si>
    <t>Flora by Flora Nikrooz Madonna Rib-Knit Pajama Sock Navy S</t>
  </si>
  <si>
    <t>T90586</t>
  </si>
  <si>
    <t>761321689298</t>
  </si>
  <si>
    <t>Linea Donatella 2-Pc. Stretch Lace Cami Shor Saphire S</t>
  </si>
  <si>
    <t>CBE090</t>
  </si>
  <si>
    <t>761321682701</t>
  </si>
  <si>
    <t>Linea Donatella Lace Babydoll Thong Set Apricot XL</t>
  </si>
  <si>
    <t>DPS080</t>
  </si>
  <si>
    <t>761321692458</t>
  </si>
  <si>
    <t>Linea Donatella Printed Camisole Cropped Pajam Turquoise Orchid S</t>
  </si>
  <si>
    <t>BTY145</t>
  </si>
  <si>
    <t>733003608590</t>
  </si>
  <si>
    <t>Family Pajamas Plus Size Fleece 1-Pc. Buffalo Red Buff Check 3X</t>
  </si>
  <si>
    <t>762120097154</t>
  </si>
  <si>
    <t>Family Pajamas Mama Heart Pajama Set Candy Red M</t>
  </si>
  <si>
    <t>762120097093</t>
  </si>
  <si>
    <t>Family Pajamas Striped Pajama Set Pink Stripe M</t>
  </si>
  <si>
    <t>762120097086</t>
  </si>
  <si>
    <t>Family Pajamas Striped Pajama Set Pink Stripe S</t>
  </si>
  <si>
    <t>732999715671</t>
  </si>
  <si>
    <t>Family Pajamas Kids Ornament-Print Pajama Set Ornaments 4-5</t>
  </si>
  <si>
    <t>732996680842</t>
  </si>
  <si>
    <t>Family Pajamas Baby Boys Girls 1-Pc. Plaid Brinkley Plaid 18 months</t>
  </si>
  <si>
    <t>733003608255</t>
  </si>
  <si>
    <t>Family Pajamas Merry Trees Printed Pet Bandan Christmas Trees SM</t>
  </si>
  <si>
    <t>733002703258</t>
  </si>
  <si>
    <t>INC International Concepts Printed Wrap Robe, Cami Shor Summer Tiedye XXL</t>
  </si>
  <si>
    <t>100122041MS</t>
  </si>
  <si>
    <t>733002026685</t>
  </si>
  <si>
    <t>INC International Concepts Lace-Trim Cami Shorts Sleep Snake Skin XXL</t>
  </si>
  <si>
    <t>100116705MS</t>
  </si>
  <si>
    <t>733002324927</t>
  </si>
  <si>
    <t>INC International Concepts Printed Knit Pajama Shorts Set Snake Skin L</t>
  </si>
  <si>
    <t>733002704453</t>
  </si>
  <si>
    <t>INC International Concepts Printed Knit Pajama Shorts Set Wild Leo XL</t>
  </si>
  <si>
    <t>733002803842</t>
  </si>
  <si>
    <t>INC International Concepts Lace-Bodice Chiffon Chemise Dutch Pink S</t>
  </si>
  <si>
    <t>733002701384</t>
  </si>
  <si>
    <t>INC International Concepts Lace-Trim Cami Shorts Pajama Summer Floral L</t>
  </si>
  <si>
    <t>100122031MS</t>
  </si>
  <si>
    <t>733004896088</t>
  </si>
  <si>
    <t>Jenni Sleep Bodysuit Marble - Rose 3X</t>
  </si>
  <si>
    <t>733004162732</t>
  </si>
  <si>
    <t>Jenni Colorblocked Pajamas Set Baby Blue XS</t>
  </si>
  <si>
    <t>100132156MS</t>
  </si>
  <si>
    <t>733004894459</t>
  </si>
  <si>
    <t>Jenni Sleep Jogger Pants Washed White XL</t>
  </si>
  <si>
    <t>733004894411</t>
  </si>
  <si>
    <t>Jenni Sleep Jogger Pants Washed White XS</t>
  </si>
  <si>
    <t>733004895586</t>
  </si>
  <si>
    <t>Jenni Super-Soft Long-Sleeve Sleep T Dusty Jade 1X</t>
  </si>
  <si>
    <t>733003805142</t>
  </si>
  <si>
    <t>Jenni HOODED PJ TOP Bold Tiedye XL</t>
  </si>
  <si>
    <t>733004106521</t>
  </si>
  <si>
    <t>Jenni Plus Size Waffle Pajama Set Tiedye Green 3X</t>
  </si>
  <si>
    <t>100127275WN</t>
  </si>
  <si>
    <t>733004896781</t>
  </si>
  <si>
    <t>Jenni Ribbed Velour Pajama Pants Lilac Whisper L</t>
  </si>
  <si>
    <t>733004106163</t>
  </si>
  <si>
    <t>Jenni Packaged Pajama Set Holiday Lights L</t>
  </si>
  <si>
    <t>733003111007</t>
  </si>
  <si>
    <t>Jenni Lounge Top Baby Blue L</t>
  </si>
  <si>
    <t>733002668359</t>
  </si>
  <si>
    <t>Jenni Lounge Shorts Animal L</t>
  </si>
  <si>
    <t>733004896187</t>
  </si>
  <si>
    <t>Jenni Printed Ribbed Wide-Leg Pajama Pastel Tie Dye L</t>
  </si>
  <si>
    <t>733004860850</t>
  </si>
  <si>
    <t>Jenni Solid Ribbed Tank Top Mauve S</t>
  </si>
  <si>
    <t>733004017957</t>
  </si>
  <si>
    <t>Jenni Printed Sleep Shirt Watercolor Anim M</t>
  </si>
  <si>
    <t>733004017865</t>
  </si>
  <si>
    <t>Jenni Printed Sleep Shirt Constellation L</t>
  </si>
  <si>
    <t>732994870474</t>
  </si>
  <si>
    <t>Jenni Core Drawstring Pajama Pants Dream Script S</t>
  </si>
  <si>
    <t>733002451814</t>
  </si>
  <si>
    <t>Jenni Plus Size Solid Sleep T-Shirt Shell Pink 2X</t>
  </si>
  <si>
    <t>733003863142</t>
  </si>
  <si>
    <t>Jenni Solid Long-Sleeve Pajama Top Navy Sail XL</t>
  </si>
  <si>
    <t>733003439729</t>
  </si>
  <si>
    <t>Jenni Ribbed Pajama Top Cali Pink XS</t>
  </si>
  <si>
    <t>733002827190</t>
  </si>
  <si>
    <t>Jenni Printed Pajama Shorts Palm Tree M</t>
  </si>
  <si>
    <t>100121073MS</t>
  </si>
  <si>
    <t>733002827114</t>
  </si>
  <si>
    <t>Jenni Printed Pajama Shorts Palm Leaves XL</t>
  </si>
  <si>
    <t>100121071MS</t>
  </si>
  <si>
    <t>811987021236</t>
  </si>
  <si>
    <t>Pure Fiber Pure Fiber Womens 2pc Loungew Gray XL</t>
  </si>
  <si>
    <t>PF3BS102XL</t>
  </si>
  <si>
    <t>194173077485</t>
  </si>
  <si>
    <t>Sub_Urban Riot Because I Said So T-Shirt Jo White S</t>
  </si>
  <si>
    <t>WF21308SS</t>
  </si>
  <si>
    <t>716273382964</t>
  </si>
  <si>
    <t>DKNY Contrast-Trim Sleep T-Shirt Grey Heather M</t>
  </si>
  <si>
    <t>671478824681</t>
  </si>
  <si>
    <t>Insomniax Long Sleeve Pajama Top Multi XL</t>
  </si>
  <si>
    <t>671478824766</t>
  </si>
  <si>
    <t>Insomniax Long-Sleeve Pajama Top Charcoal XL</t>
  </si>
  <si>
    <t>26718813978</t>
  </si>
  <si>
    <t>Roudelain Printed Pajama Set Greystone M</t>
  </si>
  <si>
    <t>26718814074</t>
  </si>
  <si>
    <t>Roudelain Printed Pajama Set Ballerina XL</t>
  </si>
  <si>
    <t>26718813930</t>
  </si>
  <si>
    <t>Roudelain Printed Pajama Set Cameo Pink M</t>
  </si>
  <si>
    <t>86569321893</t>
  </si>
  <si>
    <t>INKIVY INKIVY Womens Short Sleeve N White L</t>
  </si>
  <si>
    <t>II220261</t>
  </si>
  <si>
    <t>26718885586</t>
  </si>
  <si>
    <t>Roudelain Whisper Luxe Drop Shoulder Paj Leggy Starvintage Navy S</t>
  </si>
  <si>
    <t>888172772525</t>
  </si>
  <si>
    <t>Hue Striped Classic Pajama Pants Pink Stripe XL</t>
  </si>
  <si>
    <t>26718885043</t>
  </si>
  <si>
    <t>Roudelain Whisper Luxe Long Sleeve Top Spacedye Vintage High Risechr S</t>
  </si>
  <si>
    <t>26718753557</t>
  </si>
  <si>
    <t>Roudelain Tie-Dyed Chemise Nightgown Buttercup M</t>
  </si>
  <si>
    <t>EAJS036M</t>
  </si>
  <si>
    <t>888172749855</t>
  </si>
  <si>
    <t>Hue Frost Tree Classic Pajama Pant Shocking Pink M</t>
  </si>
  <si>
    <t>26718934697</t>
  </si>
  <si>
    <t>Jaclyn Intimates Super-Soft Jogger Pants Pajama Pearl Blueevday Florals High XL</t>
  </si>
  <si>
    <t>26718934918</t>
  </si>
  <si>
    <t>Jaclyn Intimates Super-Soft Jogger Pants Pajama Azalea Pinktidal Tie Dye Whit M</t>
  </si>
  <si>
    <t>889835278538</t>
  </si>
  <si>
    <t>COOL GIRL COOL GIRL T-Shirt Printed Pa Grysea Cr M</t>
  </si>
  <si>
    <t>26718752451</t>
  </si>
  <si>
    <t>Roudelain Ribbed Tank Top Shorts Sleep Solid Tradewins L</t>
  </si>
  <si>
    <t>EAJE112M</t>
  </si>
  <si>
    <t>37882329158</t>
  </si>
  <si>
    <t>Jockey Seamless Brief 4135 Light Nude 4 M</t>
  </si>
  <si>
    <t>733003406141</t>
  </si>
  <si>
    <t>INC International Concepts Long-Sleeve Lace Mesh Bodysuit Vibrant Navy XXL</t>
  </si>
  <si>
    <t>726895997248</t>
  </si>
  <si>
    <t>INC International Concepts Smooth Lace Demi Bra Taupe Dream Nude 4 40D</t>
  </si>
  <si>
    <t>NYLON/RAYON/SPANDEX.</t>
  </si>
  <si>
    <t>733004809972</t>
  </si>
  <si>
    <t>INC International Concepts Womens Lace Bralette Maraschino XXL</t>
  </si>
  <si>
    <t>733002047451</t>
  </si>
  <si>
    <t>Charter Club Womens Cotton High-Cut Brief Pink Dolphin L</t>
  </si>
  <si>
    <t>7701453861035</t>
  </si>
  <si>
    <t>Leonisa Firm Control Compression Leggi Black L</t>
  </si>
  <si>
    <t>810127031739</t>
  </si>
  <si>
    <t>COTTON V NECK TANK</t>
  </si>
  <si>
    <t>YT5-185</t>
  </si>
  <si>
    <t>BODY: COTTON/NYLON/SPANDEX; WAISTBAND: COTTON/SPANDEX/NYLON</t>
  </si>
  <si>
    <t>194490027736</t>
  </si>
  <si>
    <t>Jockey Long Cotton Wrap Robe Blue Wash XL</t>
  </si>
  <si>
    <t>192910241267</t>
  </si>
  <si>
    <t>Munki Munki Star Wars Darth Vader Pajama S Grey M</t>
  </si>
  <si>
    <t>769137295238</t>
  </si>
  <si>
    <t>Cuddl Duds T-Shirt Shorts Pajama Set Pink Aqua M</t>
  </si>
  <si>
    <t>37882717948</t>
  </si>
  <si>
    <t>Jockey Jockey Womens Cotton Boxer Pa Midgrey M</t>
  </si>
  <si>
    <t>12115434878</t>
  </si>
  <si>
    <t>DRAFT - Cuddl Duds Softwear La Inv Rej 18 40C</t>
  </si>
  <si>
    <t>732999607860</t>
  </si>
  <si>
    <t>Jenni Cotton Lace Trim Hipster Blue Infinity XXXL</t>
  </si>
  <si>
    <t>FL</t>
  </si>
  <si>
    <t>12 pallets / EXW FL</t>
  </si>
  <si>
    <t>Price  $22,600.00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</si>
</sst>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_(&quot;$&quot;* #,##0.00_);_(&quot;$&quot;* \(#,##0.0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color rgb="FF0000FF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32">
    <xf numFmtId="0" fontId="0" fillId="0" borderId="0" xfId="0"/>
    <xf numFmtId="0" fontId="18" fillId="0" borderId="0" xfId="0" applyFont="1" applyAlignment="1">
      <alignment horizontal="center" vertical="center" wrapText="1"/>
    </xf>
    <xf numFmtId="1" fontId="19" fillId="0" borderId="0" xfId="0" applyNumberFormat="1" applyFont="1" applyAlignment="1">
      <alignment horizontal="center" wrapText="1"/>
    </xf>
    <xf numFmtId="0" fontId="19" fillId="0" borderId="0" xfId="0" applyFont="1" applyAlignment="1">
      <alignment horizontal="center" wrapText="1"/>
    </xf>
    <xf numFmtId="49" fontId="19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" fontId="19" fillId="0" borderId="0" xfId="0" applyNumberFormat="1" applyFont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 wrapText="1"/>
    </xf>
    <xf numFmtId="165" fontId="16" fillId="0" borderId="0" xfId="42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65" fontId="0" fillId="0" borderId="0" xfId="42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1" fontId="19" fillId="0" borderId="10" xfId="0" applyNumberFormat="1" applyFont="1" applyBorder="1" applyAlignment="1">
      <alignment horizontal="center" vertical="center" wrapText="1"/>
    </xf>
    <xf numFmtId="165" fontId="19" fillId="0" borderId="10" xfId="42" applyFont="1" applyBorder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 wrapText="1"/>
    </xf>
    <xf numFmtId="164" fontId="19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164" fontId="19" fillId="0" borderId="0" xfId="0" applyNumberFormat="1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 wrapText="1"/>
    </xf>
    <xf numFmtId="165" fontId="22" fillId="33" borderId="10" xfId="42" applyFont="1" applyFill="1" applyBorder="1" applyAlignment="1">
      <alignment horizontal="center" vertical="center" wrapText="1"/>
    </xf>
    <xf numFmtId="0" fontId="23" fillId="0" borderId="10" xfId="43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1" fillId="34" borderId="0" xfId="0" applyFont="1" applyFill="1" applyAlignment="1">
      <alignment horizontal="center" vertic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3</xdr:col>
      <xdr:colOff>866775</xdr:colOff>
      <xdr:row>1</xdr:row>
      <xdr:rowOff>1950</xdr:rowOff>
    </xdr:to>
    <xdr:pic>
      <xdr:nvPicPr>
        <xdr:cNvPr id="3" name="Picture 2" descr="Best Lingerie Brands - Macy's Bra Fit Guid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772" r="21835"/>
        <a:stretch/>
      </xdr:blipFill>
      <xdr:spPr bwMode="auto">
        <a:xfrm>
          <a:off x="0" y="9525"/>
          <a:ext cx="4010025" cy="2954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876301</xdr:colOff>
      <xdr:row>0</xdr:row>
      <xdr:rowOff>0</xdr:rowOff>
    </xdr:from>
    <xdr:to>
      <xdr:col>7</xdr:col>
      <xdr:colOff>545</xdr:colOff>
      <xdr:row>0</xdr:row>
      <xdr:rowOff>2953512</xdr:rowOff>
    </xdr:to>
    <xdr:pic>
      <xdr:nvPicPr>
        <xdr:cNvPr id="4" name="Picture 3" descr="12 Holiday Family Pajamas for Women, Men and Kids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1" y="0"/>
          <a:ext cx="3337469" cy="2953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8"/>
  <sheetViews>
    <sheetView tabSelected="1" zoomScaleNormal="100" workbookViewId="0">
      <selection activeCell="O7" sqref="O7"/>
    </sheetView>
  </sheetViews>
  <sheetFormatPr defaultRowHeight="15" x14ac:dyDescent="0.25"/>
  <cols>
    <col min="1" max="1" width="9.42578125" style="12" bestFit="1" customWidth="1"/>
    <col min="2" max="2" width="9" style="12" bestFit="1" customWidth="1"/>
    <col min="3" max="3" width="28.7109375" style="12" bestFit="1" customWidth="1"/>
    <col min="4" max="4" width="26" style="12" bestFit="1" customWidth="1"/>
    <col min="5" max="5" width="12.42578125" style="12" bestFit="1" customWidth="1"/>
    <col min="6" max="6" width="15" style="14" bestFit="1" customWidth="1"/>
    <col min="7" max="7" width="9.85546875" style="12" bestFit="1" customWidth="1"/>
    <col min="8" max="16384" width="9.140625" style="12"/>
  </cols>
  <sheetData>
    <row r="1" spans="1:12" ht="233.25" customHeight="1" x14ac:dyDescent="0.25">
      <c r="A1" s="30"/>
      <c r="B1" s="30"/>
      <c r="C1" s="30"/>
      <c r="D1" s="30"/>
      <c r="E1" s="30"/>
      <c r="F1" s="30"/>
      <c r="G1" s="30"/>
    </row>
    <row r="2" spans="1:12" ht="24" x14ac:dyDescent="0.25">
      <c r="A2" s="27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8" t="s">
        <v>5</v>
      </c>
      <c r="G2" s="27" t="s">
        <v>6</v>
      </c>
    </row>
    <row r="3" spans="1:12" ht="15" customHeight="1" x14ac:dyDescent="0.25">
      <c r="A3" s="16" t="s">
        <v>4662</v>
      </c>
      <c r="B3" s="17">
        <v>14440178</v>
      </c>
      <c r="C3" s="17" t="s">
        <v>7</v>
      </c>
      <c r="D3" s="16" t="s">
        <v>8</v>
      </c>
      <c r="E3" s="16">
        <v>1</v>
      </c>
      <c r="F3" s="18">
        <v>16568.419999999998</v>
      </c>
      <c r="G3" s="17">
        <v>531</v>
      </c>
    </row>
    <row r="4" spans="1:12" ht="15" customHeight="1" x14ac:dyDescent="0.25">
      <c r="A4" s="16" t="s">
        <v>4662</v>
      </c>
      <c r="B4" s="17">
        <v>14436042</v>
      </c>
      <c r="C4" s="17" t="s">
        <v>7</v>
      </c>
      <c r="D4" s="16" t="s">
        <v>8</v>
      </c>
      <c r="E4" s="16">
        <v>1</v>
      </c>
      <c r="F4" s="18">
        <v>14426.85</v>
      </c>
      <c r="G4" s="17">
        <v>450</v>
      </c>
      <c r="L4"/>
    </row>
    <row r="5" spans="1:12" ht="15" customHeight="1" x14ac:dyDescent="0.25">
      <c r="A5" s="16" t="s">
        <v>4662</v>
      </c>
      <c r="B5" s="17">
        <v>14418920</v>
      </c>
      <c r="C5" s="17" t="s">
        <v>7</v>
      </c>
      <c r="D5" s="16" t="s">
        <v>8</v>
      </c>
      <c r="E5" s="16">
        <v>1</v>
      </c>
      <c r="F5" s="18">
        <v>16688.22</v>
      </c>
      <c r="G5" s="17">
        <v>564</v>
      </c>
    </row>
    <row r="6" spans="1:12" ht="15" customHeight="1" x14ac:dyDescent="0.25">
      <c r="A6" s="16" t="s">
        <v>4662</v>
      </c>
      <c r="B6" s="17">
        <v>14316398</v>
      </c>
      <c r="C6" s="17" t="s">
        <v>7</v>
      </c>
      <c r="D6" s="16" t="s">
        <v>8</v>
      </c>
      <c r="E6" s="16">
        <v>1</v>
      </c>
      <c r="F6" s="18">
        <v>31034.54</v>
      </c>
      <c r="G6" s="17">
        <v>1102</v>
      </c>
      <c r="K6"/>
    </row>
    <row r="7" spans="1:12" ht="15" customHeight="1" x14ac:dyDescent="0.25">
      <c r="A7" s="16" t="s">
        <v>4662</v>
      </c>
      <c r="B7" s="17">
        <v>14334819</v>
      </c>
      <c r="C7" s="17" t="s">
        <v>7</v>
      </c>
      <c r="D7" s="16" t="s">
        <v>8</v>
      </c>
      <c r="E7" s="16">
        <v>1</v>
      </c>
      <c r="F7" s="18">
        <v>14072.04</v>
      </c>
      <c r="G7" s="17">
        <v>474</v>
      </c>
      <c r="K7"/>
    </row>
    <row r="8" spans="1:12" ht="15" customHeight="1" x14ac:dyDescent="0.25">
      <c r="A8" s="16" t="s">
        <v>4662</v>
      </c>
      <c r="B8" s="17">
        <v>14335074</v>
      </c>
      <c r="C8" s="17" t="s">
        <v>7</v>
      </c>
      <c r="D8" s="16" t="s">
        <v>8</v>
      </c>
      <c r="E8" s="16">
        <v>1</v>
      </c>
      <c r="F8" s="18">
        <v>26109.24</v>
      </c>
      <c r="G8" s="17">
        <v>955</v>
      </c>
    </row>
    <row r="9" spans="1:12" ht="15" customHeight="1" x14ac:dyDescent="0.25">
      <c r="A9" s="16" t="s">
        <v>4662</v>
      </c>
      <c r="B9" s="17">
        <v>14347145</v>
      </c>
      <c r="C9" s="17" t="s">
        <v>7</v>
      </c>
      <c r="D9" s="16" t="s">
        <v>8</v>
      </c>
      <c r="E9" s="16">
        <v>1</v>
      </c>
      <c r="F9" s="18">
        <v>31273.69</v>
      </c>
      <c r="G9" s="17">
        <v>1158</v>
      </c>
    </row>
    <row r="10" spans="1:12" ht="15" customHeight="1" x14ac:dyDescent="0.25">
      <c r="A10" s="16" t="s">
        <v>4662</v>
      </c>
      <c r="B10" s="17">
        <v>14351541</v>
      </c>
      <c r="C10" s="17" t="s">
        <v>7</v>
      </c>
      <c r="D10" s="16" t="s">
        <v>8</v>
      </c>
      <c r="E10" s="16">
        <v>1</v>
      </c>
      <c r="F10" s="18">
        <v>21257.51</v>
      </c>
      <c r="G10" s="17">
        <v>808</v>
      </c>
    </row>
    <row r="11" spans="1:12" ht="15" customHeight="1" x14ac:dyDescent="0.25">
      <c r="A11" s="16" t="s">
        <v>4662</v>
      </c>
      <c r="B11" s="17">
        <v>14351546</v>
      </c>
      <c r="C11" s="17" t="s">
        <v>7</v>
      </c>
      <c r="D11" s="16" t="s">
        <v>8</v>
      </c>
      <c r="E11" s="16">
        <v>1</v>
      </c>
      <c r="F11" s="18">
        <v>15833.47</v>
      </c>
      <c r="G11" s="17">
        <v>589</v>
      </c>
    </row>
    <row r="12" spans="1:12" ht="15" customHeight="1" x14ac:dyDescent="0.25">
      <c r="A12" s="16" t="s">
        <v>4662</v>
      </c>
      <c r="B12" s="17">
        <v>14360720</v>
      </c>
      <c r="C12" s="17" t="s">
        <v>7</v>
      </c>
      <c r="D12" s="16" t="s">
        <v>8</v>
      </c>
      <c r="E12" s="16">
        <v>1</v>
      </c>
      <c r="F12" s="18">
        <v>10938.34</v>
      </c>
      <c r="G12" s="17">
        <v>338</v>
      </c>
      <c r="H12" s="7"/>
    </row>
    <row r="13" spans="1:12" ht="15" customHeight="1" x14ac:dyDescent="0.25">
      <c r="A13" s="16" t="s">
        <v>4662</v>
      </c>
      <c r="B13" s="17">
        <v>14376133</v>
      </c>
      <c r="C13" s="17" t="s">
        <v>7</v>
      </c>
      <c r="D13" s="16" t="s">
        <v>8</v>
      </c>
      <c r="E13" s="16">
        <v>1</v>
      </c>
      <c r="F13" s="18">
        <v>25600.06</v>
      </c>
      <c r="G13" s="17">
        <v>786</v>
      </c>
    </row>
    <row r="14" spans="1:12" ht="15" customHeight="1" x14ac:dyDescent="0.25">
      <c r="A14" s="16" t="s">
        <v>4662</v>
      </c>
      <c r="B14" s="17">
        <v>14404660</v>
      </c>
      <c r="C14" s="17" t="s">
        <v>7</v>
      </c>
      <c r="D14" s="16" t="s">
        <v>8</v>
      </c>
      <c r="E14" s="16">
        <v>1</v>
      </c>
      <c r="F14" s="18">
        <v>2859.72</v>
      </c>
      <c r="G14" s="17">
        <v>147</v>
      </c>
    </row>
    <row r="15" spans="1:12" x14ac:dyDescent="0.25">
      <c r="E15" s="5">
        <f>SUM(E3:E14)</f>
        <v>12</v>
      </c>
      <c r="F15" s="10">
        <f>SUM(F3:F14)</f>
        <v>226662.1</v>
      </c>
      <c r="G15" s="6">
        <f>SUM(G3:G14)</f>
        <v>7902</v>
      </c>
    </row>
    <row r="17" spans="5:6" x14ac:dyDescent="0.25">
      <c r="E17" s="31" t="s">
        <v>4664</v>
      </c>
      <c r="F17" s="31"/>
    </row>
    <row r="18" spans="5:6" x14ac:dyDescent="0.25">
      <c r="E18" s="31" t="s">
        <v>4663</v>
      </c>
      <c r="F18" s="31"/>
    </row>
  </sheetData>
  <sortState ref="A2:M133">
    <sortCondition ref="B2:B133"/>
  </sortState>
  <mergeCells count="3">
    <mergeCell ref="A1:G1"/>
    <mergeCell ref="E17:F17"/>
    <mergeCell ref="E18:F18"/>
  </mergeCells>
  <pageMargins left="0.75" right="0.75" top="1" bottom="1" header="0.5" footer="0.5"/>
  <pageSetup scale="80" orientation="portrait" r:id="rId1"/>
  <colBreaks count="1" manualBreakCount="1">
    <brk id="7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7"/>
  <sheetViews>
    <sheetView workbookViewId="0">
      <selection activeCell="B1" sqref="B1"/>
    </sheetView>
  </sheetViews>
  <sheetFormatPr defaultColWidth="83.7109375" defaultRowHeight="15" x14ac:dyDescent="0.25"/>
  <cols>
    <col min="1" max="1" width="14.140625" style="12" bestFit="1" customWidth="1"/>
    <col min="2" max="2" width="66.28515625" style="12" bestFit="1" customWidth="1"/>
    <col min="3" max="3" width="12.42578125" style="12" bestFit="1" customWidth="1"/>
    <col min="4" max="4" width="15" style="12" bestFit="1" customWidth="1"/>
    <col min="5" max="5" width="21" style="12" bestFit="1" customWidth="1"/>
    <col min="6" max="6" width="15.85546875" style="12" bestFit="1" customWidth="1"/>
    <col min="7" max="7" width="12.7109375" style="12" bestFit="1" customWidth="1"/>
    <col min="8" max="8" width="11.140625" style="12" bestFit="1" customWidth="1"/>
    <col min="9" max="9" width="8.140625" style="12" bestFit="1" customWidth="1"/>
    <col min="10" max="10" width="17.5703125" style="12" bestFit="1" customWidth="1"/>
    <col min="11" max="11" width="39.5703125" style="12" bestFit="1" customWidth="1"/>
    <col min="12" max="12" width="17.7109375" style="12" bestFit="1" customWidth="1"/>
    <col min="13" max="13" width="60.42578125" style="12" bestFit="1" customWidth="1"/>
    <col min="14" max="14" width="48.140625" style="12" bestFit="1" customWidth="1"/>
    <col min="15" max="16384" width="83.7109375" style="12"/>
  </cols>
  <sheetData>
    <row r="1" spans="1:14" x14ac:dyDescent="0.25">
      <c r="A1" s="1" t="s">
        <v>12</v>
      </c>
      <c r="B1" s="1" t="s">
        <v>13</v>
      </c>
      <c r="C1" s="1" t="s">
        <v>14</v>
      </c>
      <c r="D1" s="1" t="s">
        <v>5</v>
      </c>
      <c r="E1" s="1" t="s">
        <v>9</v>
      </c>
      <c r="F1" s="1" t="s">
        <v>15</v>
      </c>
      <c r="G1" s="1" t="s">
        <v>16</v>
      </c>
      <c r="H1" s="1" t="s">
        <v>17</v>
      </c>
      <c r="I1" s="1" t="s">
        <v>10</v>
      </c>
      <c r="J1" s="1" t="s">
        <v>18</v>
      </c>
      <c r="K1" s="1" t="s">
        <v>19</v>
      </c>
      <c r="L1" s="1" t="s">
        <v>20</v>
      </c>
      <c r="M1" s="1" t="s">
        <v>21</v>
      </c>
      <c r="N1" s="1" t="s">
        <v>22</v>
      </c>
    </row>
    <row r="2" spans="1:14" x14ac:dyDescent="0.25">
      <c r="A2" s="19" t="s">
        <v>2967</v>
      </c>
      <c r="B2" s="13" t="s">
        <v>2968</v>
      </c>
      <c r="C2" s="8">
        <v>1</v>
      </c>
      <c r="D2" s="9">
        <v>52</v>
      </c>
      <c r="E2" s="9">
        <v>52</v>
      </c>
      <c r="F2" s="8" t="s">
        <v>2969</v>
      </c>
      <c r="G2" s="13" t="s">
        <v>122</v>
      </c>
      <c r="H2" s="19" t="s">
        <v>55</v>
      </c>
      <c r="I2" s="13" t="s">
        <v>893</v>
      </c>
      <c r="J2" s="13" t="s">
        <v>533</v>
      </c>
      <c r="K2" s="13" t="s">
        <v>2970</v>
      </c>
      <c r="L2" s="13" t="s">
        <v>685</v>
      </c>
      <c r="M2" s="13" t="s">
        <v>2971</v>
      </c>
      <c r="N2" s="20" t="str">
        <f>HYPERLINK("http://images.bloomingdales.com/is/image/BLM/10337190 ")</f>
        <v xml:space="preserve">http://images.bloomingdales.com/is/image/BLM/10337190 </v>
      </c>
    </row>
    <row r="3" spans="1:14" x14ac:dyDescent="0.25">
      <c r="A3" s="19" t="s">
        <v>53</v>
      </c>
      <c r="B3" s="13" t="s">
        <v>54</v>
      </c>
      <c r="C3" s="8">
        <v>1</v>
      </c>
      <c r="D3" s="9">
        <v>34.99</v>
      </c>
      <c r="E3" s="9">
        <v>34.99</v>
      </c>
      <c r="F3" s="8" t="s">
        <v>52</v>
      </c>
      <c r="G3" s="13" t="s">
        <v>31</v>
      </c>
      <c r="H3" s="19" t="s">
        <v>55</v>
      </c>
      <c r="I3" s="13" t="s">
        <v>11</v>
      </c>
      <c r="J3" s="13" t="s">
        <v>28</v>
      </c>
      <c r="K3" s="13" t="s">
        <v>29</v>
      </c>
      <c r="L3" s="13"/>
      <c r="M3" s="13"/>
      <c r="N3" s="20" t="str">
        <f>HYPERLINK("http://slimages.macys.com/is/image/MCY/18574724 ")</f>
        <v xml:space="preserve">http://slimages.macys.com/is/image/MCY/18574724 </v>
      </c>
    </row>
    <row r="4" spans="1:14" x14ac:dyDescent="0.25">
      <c r="A4" s="19" t="s">
        <v>2850</v>
      </c>
      <c r="B4" s="13" t="s">
        <v>2851</v>
      </c>
      <c r="C4" s="8">
        <v>1</v>
      </c>
      <c r="D4" s="9">
        <v>34.99</v>
      </c>
      <c r="E4" s="9">
        <v>34.99</v>
      </c>
      <c r="F4" s="8" t="s">
        <v>52</v>
      </c>
      <c r="G4" s="13" t="s">
        <v>120</v>
      </c>
      <c r="H4" s="19" t="s">
        <v>27</v>
      </c>
      <c r="I4" s="13" t="s">
        <v>11</v>
      </c>
      <c r="J4" s="13" t="s">
        <v>28</v>
      </c>
      <c r="K4" s="13" t="s">
        <v>29</v>
      </c>
      <c r="L4" s="13"/>
      <c r="M4" s="13"/>
      <c r="N4" s="20" t="str">
        <f>HYPERLINK("http://slimages.macys.com/is/image/MCY/18742971 ")</f>
        <v xml:space="preserve">http://slimages.macys.com/is/image/MCY/18742971 </v>
      </c>
    </row>
    <row r="5" spans="1:14" x14ac:dyDescent="0.25">
      <c r="A5" s="19" t="s">
        <v>41</v>
      </c>
      <c r="B5" s="13" t="s">
        <v>42</v>
      </c>
      <c r="C5" s="8">
        <v>19</v>
      </c>
      <c r="D5" s="9">
        <v>34.99</v>
      </c>
      <c r="E5" s="9">
        <v>664.81</v>
      </c>
      <c r="F5" s="8" t="s">
        <v>43</v>
      </c>
      <c r="G5" s="13" t="s">
        <v>44</v>
      </c>
      <c r="H5" s="19" t="s">
        <v>40</v>
      </c>
      <c r="I5" s="13" t="s">
        <v>11</v>
      </c>
      <c r="J5" s="13" t="s">
        <v>28</v>
      </c>
      <c r="K5" s="13" t="s">
        <v>29</v>
      </c>
      <c r="L5" s="13"/>
      <c r="M5" s="13"/>
      <c r="N5" s="20" t="str">
        <f>HYPERLINK("http://slimages.macys.com/is/image/MCY/18574724 ")</f>
        <v xml:space="preserve">http://slimages.macys.com/is/image/MCY/18574724 </v>
      </c>
    </row>
    <row r="6" spans="1:14" x14ac:dyDescent="0.25">
      <c r="A6" s="19" t="s">
        <v>566</v>
      </c>
      <c r="B6" s="13" t="s">
        <v>567</v>
      </c>
      <c r="C6" s="8">
        <v>8</v>
      </c>
      <c r="D6" s="9">
        <v>34.99</v>
      </c>
      <c r="E6" s="9">
        <v>279.92</v>
      </c>
      <c r="F6" s="8" t="s">
        <v>43</v>
      </c>
      <c r="G6" s="13" t="s">
        <v>44</v>
      </c>
      <c r="H6" s="19" t="s">
        <v>55</v>
      </c>
      <c r="I6" s="13" t="s">
        <v>11</v>
      </c>
      <c r="J6" s="13" t="s">
        <v>28</v>
      </c>
      <c r="K6" s="13" t="s">
        <v>29</v>
      </c>
      <c r="L6" s="13"/>
      <c r="M6" s="13"/>
      <c r="N6" s="20" t="str">
        <f>HYPERLINK("http://slimages.macys.com/is/image/MCY/18574724 ")</f>
        <v xml:space="preserve">http://slimages.macys.com/is/image/MCY/18574724 </v>
      </c>
    </row>
    <row r="7" spans="1:14" x14ac:dyDescent="0.25">
      <c r="A7" s="19" t="s">
        <v>1124</v>
      </c>
      <c r="B7" s="13" t="s">
        <v>1125</v>
      </c>
      <c r="C7" s="8">
        <v>2</v>
      </c>
      <c r="D7" s="9">
        <v>34.99</v>
      </c>
      <c r="E7" s="9">
        <v>69.98</v>
      </c>
      <c r="F7" s="8" t="s">
        <v>43</v>
      </c>
      <c r="G7" s="13" t="s">
        <v>44</v>
      </c>
      <c r="H7" s="19" t="s">
        <v>27</v>
      </c>
      <c r="I7" s="13" t="s">
        <v>11</v>
      </c>
      <c r="J7" s="13" t="s">
        <v>28</v>
      </c>
      <c r="K7" s="13" t="s">
        <v>29</v>
      </c>
      <c r="L7" s="13"/>
      <c r="M7" s="13"/>
      <c r="N7" s="20" t="str">
        <f>HYPERLINK("http://slimages.macys.com/is/image/MCY/18574724 ")</f>
        <v xml:space="preserve">http://slimages.macys.com/is/image/MCY/18574724 </v>
      </c>
    </row>
    <row r="8" spans="1:14" x14ac:dyDescent="0.25">
      <c r="A8" s="19" t="s">
        <v>45</v>
      </c>
      <c r="B8" s="13" t="s">
        <v>46</v>
      </c>
      <c r="C8" s="8">
        <v>20</v>
      </c>
      <c r="D8" s="9">
        <v>34.99</v>
      </c>
      <c r="E8" s="9">
        <v>699.8</v>
      </c>
      <c r="F8" s="8" t="s">
        <v>43</v>
      </c>
      <c r="G8" s="13" t="s">
        <v>44</v>
      </c>
      <c r="H8" s="19" t="s">
        <v>47</v>
      </c>
      <c r="I8" s="13" t="s">
        <v>11</v>
      </c>
      <c r="J8" s="13" t="s">
        <v>28</v>
      </c>
      <c r="K8" s="13" t="s">
        <v>29</v>
      </c>
      <c r="L8" s="13"/>
      <c r="M8" s="13"/>
      <c r="N8" s="20" t="str">
        <f>HYPERLINK("http://slimages.macys.com/is/image/MCY/18742971 ")</f>
        <v xml:space="preserve">http://slimages.macys.com/is/image/MCY/18742971 </v>
      </c>
    </row>
    <row r="9" spans="1:14" x14ac:dyDescent="0.25">
      <c r="A9" s="19" t="s">
        <v>1139</v>
      </c>
      <c r="B9" s="13" t="s">
        <v>1140</v>
      </c>
      <c r="C9" s="8">
        <v>1</v>
      </c>
      <c r="D9" s="9">
        <v>34.99</v>
      </c>
      <c r="E9" s="9">
        <v>34.99</v>
      </c>
      <c r="F9" s="8" t="s">
        <v>52</v>
      </c>
      <c r="G9" s="13" t="s">
        <v>82</v>
      </c>
      <c r="H9" s="19" t="s">
        <v>32</v>
      </c>
      <c r="I9" s="13" t="s">
        <v>11</v>
      </c>
      <c r="J9" s="13" t="s">
        <v>28</v>
      </c>
      <c r="K9" s="13" t="s">
        <v>29</v>
      </c>
      <c r="L9" s="13"/>
      <c r="M9" s="13"/>
      <c r="N9" s="20" t="str">
        <f>HYPERLINK("http://slimages.macys.com/is/image/MCY/18742971 ")</f>
        <v xml:space="preserve">http://slimages.macys.com/is/image/MCY/18742971 </v>
      </c>
    </row>
    <row r="10" spans="1:14" x14ac:dyDescent="0.25">
      <c r="A10" s="19" t="s">
        <v>99</v>
      </c>
      <c r="B10" s="13" t="s">
        <v>100</v>
      </c>
      <c r="C10" s="8">
        <v>1</v>
      </c>
      <c r="D10" s="9">
        <v>34.99</v>
      </c>
      <c r="E10" s="9">
        <v>34.99</v>
      </c>
      <c r="F10" s="8" t="s">
        <v>52</v>
      </c>
      <c r="G10" s="13" t="s">
        <v>82</v>
      </c>
      <c r="H10" s="19" t="s">
        <v>40</v>
      </c>
      <c r="I10" s="13" t="s">
        <v>11</v>
      </c>
      <c r="J10" s="13" t="s">
        <v>28</v>
      </c>
      <c r="K10" s="13" t="s">
        <v>29</v>
      </c>
      <c r="L10" s="13"/>
      <c r="M10" s="13"/>
      <c r="N10" s="20" t="str">
        <f>HYPERLINK("http://slimages.macys.com/is/image/MCY/18742971 ")</f>
        <v xml:space="preserve">http://slimages.macys.com/is/image/MCY/18742971 </v>
      </c>
    </row>
    <row r="11" spans="1:14" x14ac:dyDescent="0.25">
      <c r="A11" s="19" t="s">
        <v>1414</v>
      </c>
      <c r="B11" s="13" t="s">
        <v>1415</v>
      </c>
      <c r="C11" s="8">
        <v>1</v>
      </c>
      <c r="D11" s="9">
        <v>34.99</v>
      </c>
      <c r="E11" s="9">
        <v>34.99</v>
      </c>
      <c r="F11" s="8" t="s">
        <v>90</v>
      </c>
      <c r="G11" s="13" t="s">
        <v>44</v>
      </c>
      <c r="H11" s="19" t="s">
        <v>87</v>
      </c>
      <c r="I11" s="13" t="s">
        <v>11</v>
      </c>
      <c r="J11" s="13" t="s">
        <v>28</v>
      </c>
      <c r="K11" s="13" t="s">
        <v>29</v>
      </c>
      <c r="L11" s="13"/>
      <c r="M11" s="13"/>
      <c r="N11" s="20" t="str">
        <f>HYPERLINK("http://slimages.macys.com/is/image/MCY/19339149 ")</f>
        <v xml:space="preserve">http://slimages.macys.com/is/image/MCY/19339149 </v>
      </c>
    </row>
    <row r="12" spans="1:14" x14ac:dyDescent="0.25">
      <c r="A12" s="19" t="s">
        <v>2848</v>
      </c>
      <c r="B12" s="13" t="s">
        <v>2849</v>
      </c>
      <c r="C12" s="8">
        <v>1</v>
      </c>
      <c r="D12" s="9">
        <v>34.99</v>
      </c>
      <c r="E12" s="9">
        <v>34.99</v>
      </c>
      <c r="F12" s="8" t="s">
        <v>98</v>
      </c>
      <c r="G12" s="13" t="s">
        <v>82</v>
      </c>
      <c r="H12" s="19" t="s">
        <v>55</v>
      </c>
      <c r="I12" s="13" t="s">
        <v>11</v>
      </c>
      <c r="J12" s="13" t="s">
        <v>28</v>
      </c>
      <c r="K12" s="13" t="s">
        <v>29</v>
      </c>
      <c r="L12" s="13"/>
      <c r="M12" s="13"/>
      <c r="N12" s="20" t="str">
        <f>HYPERLINK("http://slimages.macys.com/is/image/MCY/19339149 ")</f>
        <v xml:space="preserve">http://slimages.macys.com/is/image/MCY/19339149 </v>
      </c>
    </row>
    <row r="13" spans="1:14" x14ac:dyDescent="0.25">
      <c r="A13" s="19" t="s">
        <v>2846</v>
      </c>
      <c r="B13" s="13" t="s">
        <v>2847</v>
      </c>
      <c r="C13" s="8">
        <v>2</v>
      </c>
      <c r="D13" s="9">
        <v>34.99</v>
      </c>
      <c r="E13" s="9">
        <v>69.98</v>
      </c>
      <c r="F13" s="8" t="s">
        <v>98</v>
      </c>
      <c r="G13" s="13" t="s">
        <v>82</v>
      </c>
      <c r="H13" s="19" t="s">
        <v>87</v>
      </c>
      <c r="I13" s="13" t="s">
        <v>11</v>
      </c>
      <c r="J13" s="13" t="s">
        <v>28</v>
      </c>
      <c r="K13" s="13" t="s">
        <v>29</v>
      </c>
      <c r="L13" s="13"/>
      <c r="M13" s="13"/>
      <c r="N13" s="20" t="str">
        <f>HYPERLINK("http://slimages.macys.com/is/image/MCY/19339149 ")</f>
        <v xml:space="preserve">http://slimages.macys.com/is/image/MCY/19339149 </v>
      </c>
    </row>
    <row r="14" spans="1:14" x14ac:dyDescent="0.25">
      <c r="A14" s="19" t="s">
        <v>1840</v>
      </c>
      <c r="B14" s="13" t="s">
        <v>1841</v>
      </c>
      <c r="C14" s="8">
        <v>1</v>
      </c>
      <c r="D14" s="9">
        <v>39.99</v>
      </c>
      <c r="E14" s="9">
        <v>39.99</v>
      </c>
      <c r="F14" s="8" t="s">
        <v>576</v>
      </c>
      <c r="G14" s="13" t="s">
        <v>31</v>
      </c>
      <c r="H14" s="19" t="s">
        <v>55</v>
      </c>
      <c r="I14" s="13" t="s">
        <v>11</v>
      </c>
      <c r="J14" s="13" t="s">
        <v>28</v>
      </c>
      <c r="K14" s="13" t="s">
        <v>29</v>
      </c>
      <c r="L14" s="13"/>
      <c r="M14" s="13"/>
      <c r="N14" s="20" t="str">
        <f>HYPERLINK("http://slimages.macys.com/is/image/MCY/1017709 ")</f>
        <v xml:space="preserve">http://slimages.macys.com/is/image/MCY/1017709 </v>
      </c>
    </row>
    <row r="15" spans="1:14" x14ac:dyDescent="0.25">
      <c r="A15" s="19" t="s">
        <v>1842</v>
      </c>
      <c r="B15" s="13" t="s">
        <v>1843</v>
      </c>
      <c r="C15" s="8">
        <v>1</v>
      </c>
      <c r="D15" s="9">
        <v>39.99</v>
      </c>
      <c r="E15" s="9">
        <v>39.99</v>
      </c>
      <c r="F15" s="8" t="s">
        <v>576</v>
      </c>
      <c r="G15" s="13" t="s">
        <v>31</v>
      </c>
      <c r="H15" s="19" t="s">
        <v>27</v>
      </c>
      <c r="I15" s="13" t="s">
        <v>11</v>
      </c>
      <c r="J15" s="13" t="s">
        <v>28</v>
      </c>
      <c r="K15" s="13" t="s">
        <v>29</v>
      </c>
      <c r="L15" s="13"/>
      <c r="M15" s="13"/>
      <c r="N15" s="20" t="str">
        <f>HYPERLINK("http://slimages.macys.com/is/image/MCY/20051271 ")</f>
        <v xml:space="preserve">http://slimages.macys.com/is/image/MCY/20051271 </v>
      </c>
    </row>
    <row r="16" spans="1:14" x14ac:dyDescent="0.25">
      <c r="A16" s="19" t="s">
        <v>1135</v>
      </c>
      <c r="B16" s="13" t="s">
        <v>1136</v>
      </c>
      <c r="C16" s="8">
        <v>6</v>
      </c>
      <c r="D16" s="9">
        <v>39.99</v>
      </c>
      <c r="E16" s="9">
        <v>239.94</v>
      </c>
      <c r="F16" s="8" t="s">
        <v>576</v>
      </c>
      <c r="G16" s="13" t="s">
        <v>57</v>
      </c>
      <c r="H16" s="19" t="s">
        <v>32</v>
      </c>
      <c r="I16" s="13" t="s">
        <v>11</v>
      </c>
      <c r="J16" s="13" t="s">
        <v>28</v>
      </c>
      <c r="K16" s="13" t="s">
        <v>29</v>
      </c>
      <c r="L16" s="13"/>
      <c r="M16" s="13"/>
      <c r="N16" s="20" t="str">
        <f>HYPERLINK("http://slimages.macys.com/is/image/MCY/20052118 ")</f>
        <v xml:space="preserve">http://slimages.macys.com/is/image/MCY/20052118 </v>
      </c>
    </row>
    <row r="17" spans="1:14" x14ac:dyDescent="0.25">
      <c r="A17" s="19" t="s">
        <v>1836</v>
      </c>
      <c r="B17" s="13" t="s">
        <v>1837</v>
      </c>
      <c r="C17" s="8">
        <v>1</v>
      </c>
      <c r="D17" s="9">
        <v>25.99</v>
      </c>
      <c r="E17" s="9">
        <v>25.99</v>
      </c>
      <c r="F17" s="8" t="s">
        <v>71</v>
      </c>
      <c r="G17" s="13" t="s">
        <v>31</v>
      </c>
      <c r="H17" s="19" t="s">
        <v>87</v>
      </c>
      <c r="I17" s="13" t="s">
        <v>11</v>
      </c>
      <c r="J17" s="13" t="s">
        <v>28</v>
      </c>
      <c r="K17" s="13" t="s">
        <v>29</v>
      </c>
      <c r="L17" s="13"/>
      <c r="M17" s="13"/>
      <c r="N17" s="20" t="str">
        <f>HYPERLINK("http://slimages.macys.com/is/image/MCY/18530225 ")</f>
        <v xml:space="preserve">http://slimages.macys.com/is/image/MCY/18530225 </v>
      </c>
    </row>
    <row r="18" spans="1:14" x14ac:dyDescent="0.25">
      <c r="A18" s="19" t="s">
        <v>570</v>
      </c>
      <c r="B18" s="13" t="s">
        <v>571</v>
      </c>
      <c r="C18" s="8">
        <v>1</v>
      </c>
      <c r="D18" s="9">
        <v>25.99</v>
      </c>
      <c r="E18" s="9">
        <v>25.99</v>
      </c>
      <c r="F18" s="8" t="s">
        <v>68</v>
      </c>
      <c r="G18" s="13" t="s">
        <v>44</v>
      </c>
      <c r="H18" s="19" t="s">
        <v>32</v>
      </c>
      <c r="I18" s="13" t="s">
        <v>11</v>
      </c>
      <c r="J18" s="13" t="s">
        <v>28</v>
      </c>
      <c r="K18" s="13" t="s">
        <v>29</v>
      </c>
      <c r="L18" s="13"/>
      <c r="M18" s="13"/>
      <c r="N18" s="20" t="str">
        <f>HYPERLINK("http://slimages.macys.com/is/image/MCY/18574734 ")</f>
        <v xml:space="preserve">http://slimages.macys.com/is/image/MCY/18574734 </v>
      </c>
    </row>
    <row r="19" spans="1:14" x14ac:dyDescent="0.25">
      <c r="A19" s="19" t="s">
        <v>66</v>
      </c>
      <c r="B19" s="13" t="s">
        <v>67</v>
      </c>
      <c r="C19" s="8">
        <v>1</v>
      </c>
      <c r="D19" s="9">
        <v>25.99</v>
      </c>
      <c r="E19" s="9">
        <v>25.99</v>
      </c>
      <c r="F19" s="8" t="s">
        <v>68</v>
      </c>
      <c r="G19" s="13" t="s">
        <v>44</v>
      </c>
      <c r="H19" s="19" t="s">
        <v>40</v>
      </c>
      <c r="I19" s="13" t="s">
        <v>11</v>
      </c>
      <c r="J19" s="13" t="s">
        <v>28</v>
      </c>
      <c r="K19" s="13" t="s">
        <v>29</v>
      </c>
      <c r="L19" s="13"/>
      <c r="M19" s="13"/>
      <c r="N19" s="20" t="str">
        <f>HYPERLINK("http://slimages.macys.com/is/image/MCY/18574734 ")</f>
        <v xml:space="preserve">http://slimages.macys.com/is/image/MCY/18574734 </v>
      </c>
    </row>
    <row r="20" spans="1:14" x14ac:dyDescent="0.25">
      <c r="A20" s="19" t="s">
        <v>572</v>
      </c>
      <c r="B20" s="13" t="s">
        <v>573</v>
      </c>
      <c r="C20" s="8">
        <v>18</v>
      </c>
      <c r="D20" s="9">
        <v>25.99</v>
      </c>
      <c r="E20" s="9">
        <v>467.82</v>
      </c>
      <c r="F20" s="8" t="s">
        <v>68</v>
      </c>
      <c r="G20" s="13" t="s">
        <v>44</v>
      </c>
      <c r="H20" s="19" t="s">
        <v>55</v>
      </c>
      <c r="I20" s="13" t="s">
        <v>11</v>
      </c>
      <c r="J20" s="13" t="s">
        <v>28</v>
      </c>
      <c r="K20" s="13" t="s">
        <v>29</v>
      </c>
      <c r="L20" s="13"/>
      <c r="M20" s="13"/>
      <c r="N20" s="20" t="str">
        <f>HYPERLINK("http://slimages.macys.com/is/image/MCY/18530225 ")</f>
        <v xml:space="preserve">http://slimages.macys.com/is/image/MCY/18530225 </v>
      </c>
    </row>
    <row r="21" spans="1:14" x14ac:dyDescent="0.25">
      <c r="A21" s="19" t="s">
        <v>568</v>
      </c>
      <c r="B21" s="13" t="s">
        <v>569</v>
      </c>
      <c r="C21" s="8">
        <v>2</v>
      </c>
      <c r="D21" s="9">
        <v>25.99</v>
      </c>
      <c r="E21" s="9">
        <v>51.98</v>
      </c>
      <c r="F21" s="8" t="s">
        <v>68</v>
      </c>
      <c r="G21" s="13" t="s">
        <v>44</v>
      </c>
      <c r="H21" s="19" t="s">
        <v>47</v>
      </c>
      <c r="I21" s="13" t="s">
        <v>11</v>
      </c>
      <c r="J21" s="13" t="s">
        <v>28</v>
      </c>
      <c r="K21" s="13" t="s">
        <v>29</v>
      </c>
      <c r="L21" s="13"/>
      <c r="M21" s="13"/>
      <c r="N21" s="20" t="str">
        <f>HYPERLINK("http://slimages.macys.com/is/image/MCY/18574734 ")</f>
        <v xml:space="preserve">http://slimages.macys.com/is/image/MCY/18574734 </v>
      </c>
    </row>
    <row r="22" spans="1:14" x14ac:dyDescent="0.25">
      <c r="A22" s="19" t="s">
        <v>2854</v>
      </c>
      <c r="B22" s="13" t="s">
        <v>2855</v>
      </c>
      <c r="C22" s="8">
        <v>1</v>
      </c>
      <c r="D22" s="9">
        <v>35.200000000000003</v>
      </c>
      <c r="E22" s="9">
        <v>35.200000000000003</v>
      </c>
      <c r="F22" s="8">
        <v>3488</v>
      </c>
      <c r="G22" s="13" t="s">
        <v>102</v>
      </c>
      <c r="H22" s="19" t="s">
        <v>228</v>
      </c>
      <c r="I22" s="13" t="s">
        <v>11</v>
      </c>
      <c r="J22" s="13" t="s">
        <v>109</v>
      </c>
      <c r="K22" s="13" t="s">
        <v>110</v>
      </c>
      <c r="L22" s="13" t="s">
        <v>111</v>
      </c>
      <c r="M22" s="13" t="s">
        <v>113</v>
      </c>
      <c r="N22" s="20" t="str">
        <f>HYPERLINK("http://slimages.macys.com/is/image/MCY/10782262 ")</f>
        <v xml:space="preserve">http://slimages.macys.com/is/image/MCY/10782262 </v>
      </c>
    </row>
    <row r="23" spans="1:14" x14ac:dyDescent="0.25">
      <c r="A23" s="19" t="s">
        <v>2860</v>
      </c>
      <c r="B23" s="13" t="s">
        <v>2861</v>
      </c>
      <c r="C23" s="8">
        <v>1</v>
      </c>
      <c r="D23" s="9">
        <v>31.2</v>
      </c>
      <c r="E23" s="9">
        <v>31.2</v>
      </c>
      <c r="F23" s="8">
        <v>3484</v>
      </c>
      <c r="G23" s="13" t="s">
        <v>120</v>
      </c>
      <c r="H23" s="19" t="s">
        <v>228</v>
      </c>
      <c r="I23" s="13" t="s">
        <v>11</v>
      </c>
      <c r="J23" s="13" t="s">
        <v>109</v>
      </c>
      <c r="K23" s="13" t="s">
        <v>110</v>
      </c>
      <c r="L23" s="13" t="s">
        <v>111</v>
      </c>
      <c r="M23" s="13" t="s">
        <v>609</v>
      </c>
      <c r="N23" s="20" t="str">
        <f>HYPERLINK("http://slimages.macys.com/is/image/MCY/3468274 ")</f>
        <v xml:space="preserve">http://slimages.macys.com/is/image/MCY/3468274 </v>
      </c>
    </row>
    <row r="24" spans="1:14" x14ac:dyDescent="0.25">
      <c r="A24" s="19" t="s">
        <v>2862</v>
      </c>
      <c r="B24" s="13" t="s">
        <v>2863</v>
      </c>
      <c r="C24" s="8">
        <v>2</v>
      </c>
      <c r="D24" s="9">
        <v>31.2</v>
      </c>
      <c r="E24" s="9">
        <v>62.4</v>
      </c>
      <c r="F24" s="8">
        <v>3484</v>
      </c>
      <c r="G24" s="13" t="s">
        <v>120</v>
      </c>
      <c r="H24" s="19" t="s">
        <v>2864</v>
      </c>
      <c r="I24" s="13" t="s">
        <v>11</v>
      </c>
      <c r="J24" s="13" t="s">
        <v>109</v>
      </c>
      <c r="K24" s="13" t="s">
        <v>110</v>
      </c>
      <c r="L24" s="13" t="s">
        <v>111</v>
      </c>
      <c r="M24" s="13" t="s">
        <v>609</v>
      </c>
      <c r="N24" s="20" t="str">
        <f>HYPERLINK("http://slimages.macys.com/is/image/MCY/3468274 ")</f>
        <v xml:space="preserve">http://slimages.macys.com/is/image/MCY/3468274 </v>
      </c>
    </row>
    <row r="25" spans="1:14" x14ac:dyDescent="0.25">
      <c r="A25" s="19" t="s">
        <v>2852</v>
      </c>
      <c r="B25" s="13" t="s">
        <v>2853</v>
      </c>
      <c r="C25" s="8">
        <v>1</v>
      </c>
      <c r="D25" s="9">
        <v>33.6</v>
      </c>
      <c r="E25" s="9">
        <v>33.6</v>
      </c>
      <c r="F25" s="8">
        <v>3488</v>
      </c>
      <c r="G25" s="13" t="s">
        <v>127</v>
      </c>
      <c r="H25" s="19" t="s">
        <v>231</v>
      </c>
      <c r="I25" s="13" t="s">
        <v>11</v>
      </c>
      <c r="J25" s="13" t="s">
        <v>109</v>
      </c>
      <c r="K25" s="13" t="s">
        <v>110</v>
      </c>
      <c r="L25" s="13" t="s">
        <v>111</v>
      </c>
      <c r="M25" s="13" t="s">
        <v>113</v>
      </c>
      <c r="N25" s="20" t="str">
        <f>HYPERLINK("http://slimages.macys.com/is/image/MCY/10782262 ")</f>
        <v xml:space="preserve">http://slimages.macys.com/is/image/MCY/10782262 </v>
      </c>
    </row>
    <row r="26" spans="1:14" x14ac:dyDescent="0.25">
      <c r="A26" s="19" t="s">
        <v>2856</v>
      </c>
      <c r="B26" s="13" t="s">
        <v>2857</v>
      </c>
      <c r="C26" s="8">
        <v>1</v>
      </c>
      <c r="D26" s="9">
        <v>35.200000000000003</v>
      </c>
      <c r="E26" s="9">
        <v>35.200000000000003</v>
      </c>
      <c r="F26" s="8">
        <v>3385</v>
      </c>
      <c r="G26" s="13" t="s">
        <v>122</v>
      </c>
      <c r="H26" s="19" t="s">
        <v>117</v>
      </c>
      <c r="I26" s="13" t="s">
        <v>11</v>
      </c>
      <c r="J26" s="13" t="s">
        <v>109</v>
      </c>
      <c r="K26" s="13" t="s">
        <v>110</v>
      </c>
      <c r="L26" s="13" t="s">
        <v>111</v>
      </c>
      <c r="M26" s="13" t="s">
        <v>113</v>
      </c>
      <c r="N26" s="20" t="str">
        <f>HYPERLINK("http://slimages.macys.com/is/image/MCY/9512497 ")</f>
        <v xml:space="preserve">http://slimages.macys.com/is/image/MCY/9512497 </v>
      </c>
    </row>
    <row r="27" spans="1:14" x14ac:dyDescent="0.25">
      <c r="A27" s="19" t="s">
        <v>2885</v>
      </c>
      <c r="B27" s="13" t="s">
        <v>2886</v>
      </c>
      <c r="C27" s="8">
        <v>2</v>
      </c>
      <c r="D27" s="9">
        <v>42</v>
      </c>
      <c r="E27" s="9">
        <v>84</v>
      </c>
      <c r="F27" s="8">
        <v>728289</v>
      </c>
      <c r="G27" s="13" t="s">
        <v>31</v>
      </c>
      <c r="H27" s="19" t="s">
        <v>55</v>
      </c>
      <c r="I27" s="13" t="s">
        <v>893</v>
      </c>
      <c r="J27" s="13" t="s">
        <v>233</v>
      </c>
      <c r="K27" s="13" t="s">
        <v>219</v>
      </c>
      <c r="L27" s="13" t="s">
        <v>220</v>
      </c>
      <c r="M27" s="13" t="s">
        <v>2887</v>
      </c>
      <c r="N27" s="20" t="str">
        <f t="shared" ref="N27:N33" si="0">HYPERLINK("http://images.bloomingdales.com/is/image/BLM/11791849 ")</f>
        <v xml:space="preserve">http://images.bloomingdales.com/is/image/BLM/11791849 </v>
      </c>
    </row>
    <row r="28" spans="1:14" x14ac:dyDescent="0.25">
      <c r="A28" s="19" t="s">
        <v>2888</v>
      </c>
      <c r="B28" s="13" t="s">
        <v>2886</v>
      </c>
      <c r="C28" s="8">
        <v>1</v>
      </c>
      <c r="D28" s="9">
        <v>42</v>
      </c>
      <c r="E28" s="9">
        <v>42</v>
      </c>
      <c r="F28" s="8">
        <v>728289</v>
      </c>
      <c r="G28" s="13" t="s">
        <v>163</v>
      </c>
      <c r="H28" s="19" t="s">
        <v>27</v>
      </c>
      <c r="I28" s="13" t="s">
        <v>893</v>
      </c>
      <c r="J28" s="13" t="s">
        <v>233</v>
      </c>
      <c r="K28" s="13" t="s">
        <v>219</v>
      </c>
      <c r="L28" s="13" t="s">
        <v>220</v>
      </c>
      <c r="M28" s="13" t="s">
        <v>2887</v>
      </c>
      <c r="N28" s="20" t="str">
        <f t="shared" si="0"/>
        <v xml:space="preserve">http://images.bloomingdales.com/is/image/BLM/11791849 </v>
      </c>
    </row>
    <row r="29" spans="1:14" x14ac:dyDescent="0.25">
      <c r="A29" s="19" t="s">
        <v>2889</v>
      </c>
      <c r="B29" s="13" t="s">
        <v>2886</v>
      </c>
      <c r="C29" s="8">
        <v>2</v>
      </c>
      <c r="D29" s="9">
        <v>42</v>
      </c>
      <c r="E29" s="9">
        <v>84</v>
      </c>
      <c r="F29" s="8">
        <v>728289</v>
      </c>
      <c r="G29" s="13" t="s">
        <v>31</v>
      </c>
      <c r="H29" s="19" t="s">
        <v>32</v>
      </c>
      <c r="I29" s="13" t="s">
        <v>893</v>
      </c>
      <c r="J29" s="13" t="s">
        <v>233</v>
      </c>
      <c r="K29" s="13" t="s">
        <v>219</v>
      </c>
      <c r="L29" s="13" t="s">
        <v>220</v>
      </c>
      <c r="M29" s="13" t="s">
        <v>2887</v>
      </c>
      <c r="N29" s="20" t="str">
        <f t="shared" si="0"/>
        <v xml:space="preserve">http://images.bloomingdales.com/is/image/BLM/11791849 </v>
      </c>
    </row>
    <row r="30" spans="1:14" x14ac:dyDescent="0.25">
      <c r="A30" s="19" t="s">
        <v>2890</v>
      </c>
      <c r="B30" s="13" t="s">
        <v>2886</v>
      </c>
      <c r="C30" s="8">
        <v>1</v>
      </c>
      <c r="D30" s="9">
        <v>42</v>
      </c>
      <c r="E30" s="9">
        <v>42</v>
      </c>
      <c r="F30" s="8">
        <v>728289</v>
      </c>
      <c r="G30" s="13" t="s">
        <v>163</v>
      </c>
      <c r="H30" s="19" t="s">
        <v>40</v>
      </c>
      <c r="I30" s="13" t="s">
        <v>893</v>
      </c>
      <c r="J30" s="13" t="s">
        <v>233</v>
      </c>
      <c r="K30" s="13" t="s">
        <v>219</v>
      </c>
      <c r="L30" s="13" t="s">
        <v>220</v>
      </c>
      <c r="M30" s="13" t="s">
        <v>2887</v>
      </c>
      <c r="N30" s="20" t="str">
        <f t="shared" si="0"/>
        <v xml:space="preserve">http://images.bloomingdales.com/is/image/BLM/11791849 </v>
      </c>
    </row>
    <row r="31" spans="1:14" x14ac:dyDescent="0.25">
      <c r="A31" s="19" t="s">
        <v>2891</v>
      </c>
      <c r="B31" s="13" t="s">
        <v>2886</v>
      </c>
      <c r="C31" s="8">
        <v>1</v>
      </c>
      <c r="D31" s="9">
        <v>42</v>
      </c>
      <c r="E31" s="9">
        <v>42</v>
      </c>
      <c r="F31" s="8">
        <v>728289</v>
      </c>
      <c r="G31" s="13" t="s">
        <v>31</v>
      </c>
      <c r="H31" s="19" t="s">
        <v>47</v>
      </c>
      <c r="I31" s="13" t="s">
        <v>893</v>
      </c>
      <c r="J31" s="13" t="s">
        <v>233</v>
      </c>
      <c r="K31" s="13" t="s">
        <v>219</v>
      </c>
      <c r="L31" s="13" t="s">
        <v>220</v>
      </c>
      <c r="M31" s="13" t="s">
        <v>2887</v>
      </c>
      <c r="N31" s="20" t="str">
        <f t="shared" si="0"/>
        <v xml:space="preserve">http://images.bloomingdales.com/is/image/BLM/11791849 </v>
      </c>
    </row>
    <row r="32" spans="1:14" x14ac:dyDescent="0.25">
      <c r="A32" s="19" t="s">
        <v>2892</v>
      </c>
      <c r="B32" s="13" t="s">
        <v>2886</v>
      </c>
      <c r="C32" s="8">
        <v>1</v>
      </c>
      <c r="D32" s="9">
        <v>42</v>
      </c>
      <c r="E32" s="9">
        <v>42</v>
      </c>
      <c r="F32" s="8">
        <v>728289</v>
      </c>
      <c r="G32" s="13" t="s">
        <v>163</v>
      </c>
      <c r="H32" s="19" t="s">
        <v>55</v>
      </c>
      <c r="I32" s="13" t="s">
        <v>893</v>
      </c>
      <c r="J32" s="13" t="s">
        <v>233</v>
      </c>
      <c r="K32" s="13" t="s">
        <v>219</v>
      </c>
      <c r="L32" s="13" t="s">
        <v>220</v>
      </c>
      <c r="M32" s="13" t="s">
        <v>2887</v>
      </c>
      <c r="N32" s="20" t="str">
        <f t="shared" si="0"/>
        <v xml:space="preserve">http://images.bloomingdales.com/is/image/BLM/11791849 </v>
      </c>
    </row>
    <row r="33" spans="1:14" x14ac:dyDescent="0.25">
      <c r="A33" s="19" t="s">
        <v>2893</v>
      </c>
      <c r="B33" s="13" t="s">
        <v>2886</v>
      </c>
      <c r="C33" s="8">
        <v>1</v>
      </c>
      <c r="D33" s="9">
        <v>42</v>
      </c>
      <c r="E33" s="9">
        <v>42</v>
      </c>
      <c r="F33" s="8">
        <v>728289</v>
      </c>
      <c r="G33" s="13" t="s">
        <v>163</v>
      </c>
      <c r="H33" s="19" t="s">
        <v>47</v>
      </c>
      <c r="I33" s="13" t="s">
        <v>893</v>
      </c>
      <c r="J33" s="13" t="s">
        <v>233</v>
      </c>
      <c r="K33" s="13" t="s">
        <v>219</v>
      </c>
      <c r="L33" s="13" t="s">
        <v>220</v>
      </c>
      <c r="M33" s="13" t="s">
        <v>2887</v>
      </c>
      <c r="N33" s="20" t="str">
        <f t="shared" si="0"/>
        <v xml:space="preserve">http://images.bloomingdales.com/is/image/BLM/11791849 </v>
      </c>
    </row>
    <row r="34" spans="1:14" x14ac:dyDescent="0.25">
      <c r="A34" s="19" t="s">
        <v>660</v>
      </c>
      <c r="B34" s="13" t="s">
        <v>661</v>
      </c>
      <c r="C34" s="8">
        <v>1</v>
      </c>
      <c r="D34" s="9">
        <v>52</v>
      </c>
      <c r="E34" s="9">
        <v>52</v>
      </c>
      <c r="F34" s="8" t="s">
        <v>662</v>
      </c>
      <c r="G34" s="13" t="s">
        <v>31</v>
      </c>
      <c r="H34" s="19" t="s">
        <v>47</v>
      </c>
      <c r="I34" s="13" t="s">
        <v>11</v>
      </c>
      <c r="J34" s="13" t="s">
        <v>142</v>
      </c>
      <c r="K34" s="13" t="s">
        <v>143</v>
      </c>
      <c r="L34" s="13"/>
      <c r="M34" s="13"/>
      <c r="N34" s="20" t="str">
        <f>HYPERLINK("http://slimages.macys.com/is/image/MCY/18492110 ")</f>
        <v xml:space="preserve">http://slimages.macys.com/is/image/MCY/18492110 </v>
      </c>
    </row>
    <row r="35" spans="1:14" x14ac:dyDescent="0.25">
      <c r="A35" s="19" t="s">
        <v>210</v>
      </c>
      <c r="B35" s="13" t="s">
        <v>211</v>
      </c>
      <c r="C35" s="8">
        <v>1</v>
      </c>
      <c r="D35" s="9">
        <v>11.67</v>
      </c>
      <c r="E35" s="9">
        <v>11.67</v>
      </c>
      <c r="F35" s="8" t="s">
        <v>191</v>
      </c>
      <c r="G35" s="13" t="s">
        <v>202</v>
      </c>
      <c r="H35" s="19" t="s">
        <v>27</v>
      </c>
      <c r="I35" s="13" t="s">
        <v>11</v>
      </c>
      <c r="J35" s="13" t="s">
        <v>142</v>
      </c>
      <c r="K35" s="13" t="s">
        <v>143</v>
      </c>
      <c r="L35" s="13"/>
      <c r="M35" s="13"/>
      <c r="N35" s="20" t="str">
        <f>HYPERLINK("http://slimages.macys.com/is/image/MCY/20118643 ")</f>
        <v xml:space="preserve">http://slimages.macys.com/is/image/MCY/20118643 </v>
      </c>
    </row>
    <row r="36" spans="1:14" x14ac:dyDescent="0.25">
      <c r="A36" s="19" t="s">
        <v>952</v>
      </c>
      <c r="B36" s="13" t="s">
        <v>953</v>
      </c>
      <c r="C36" s="8">
        <v>1</v>
      </c>
      <c r="D36" s="9">
        <v>44</v>
      </c>
      <c r="E36" s="9">
        <v>44</v>
      </c>
      <c r="F36" s="8" t="s">
        <v>681</v>
      </c>
      <c r="G36" s="13" t="s">
        <v>31</v>
      </c>
      <c r="H36" s="19" t="s">
        <v>121</v>
      </c>
      <c r="I36" s="13" t="s">
        <v>11</v>
      </c>
      <c r="J36" s="13" t="s">
        <v>142</v>
      </c>
      <c r="K36" s="13" t="s">
        <v>143</v>
      </c>
      <c r="L36" s="13" t="s">
        <v>111</v>
      </c>
      <c r="M36" s="13" t="s">
        <v>682</v>
      </c>
      <c r="N36" s="20" t="str">
        <f>HYPERLINK("http://slimages.macys.com/is/image/MCY/15693672 ")</f>
        <v xml:space="preserve">http://slimages.macys.com/is/image/MCY/15693672 </v>
      </c>
    </row>
    <row r="37" spans="1:14" x14ac:dyDescent="0.25">
      <c r="A37" s="19" t="s">
        <v>2874</v>
      </c>
      <c r="B37" s="13" t="s">
        <v>2875</v>
      </c>
      <c r="C37" s="8">
        <v>1</v>
      </c>
      <c r="D37" s="9">
        <v>38</v>
      </c>
      <c r="E37" s="9">
        <v>38</v>
      </c>
      <c r="F37" s="8" t="s">
        <v>691</v>
      </c>
      <c r="G37" s="13" t="s">
        <v>31</v>
      </c>
      <c r="H37" s="19" t="s">
        <v>1665</v>
      </c>
      <c r="I37" s="13" t="s">
        <v>11</v>
      </c>
      <c r="J37" s="13" t="s">
        <v>142</v>
      </c>
      <c r="K37" s="13" t="s">
        <v>143</v>
      </c>
      <c r="L37" s="13" t="s">
        <v>111</v>
      </c>
      <c r="M37" s="13" t="s">
        <v>692</v>
      </c>
      <c r="N37" s="20" t="str">
        <f>HYPERLINK("http://slimages.macys.com/is/image/MCY/3675362 ")</f>
        <v xml:space="preserve">http://slimages.macys.com/is/image/MCY/3675362 </v>
      </c>
    </row>
    <row r="38" spans="1:14" x14ac:dyDescent="0.25">
      <c r="A38" s="19" t="s">
        <v>151</v>
      </c>
      <c r="B38" s="13" t="s">
        <v>152</v>
      </c>
      <c r="C38" s="8">
        <v>1</v>
      </c>
      <c r="D38" s="9">
        <v>42</v>
      </c>
      <c r="E38" s="9">
        <v>42</v>
      </c>
      <c r="F38" s="8" t="s">
        <v>153</v>
      </c>
      <c r="G38" s="13" t="s">
        <v>31</v>
      </c>
      <c r="H38" s="19" t="s">
        <v>32</v>
      </c>
      <c r="I38" s="13" t="s">
        <v>11</v>
      </c>
      <c r="J38" s="13" t="s">
        <v>142</v>
      </c>
      <c r="K38" s="13" t="s">
        <v>143</v>
      </c>
      <c r="L38" s="13" t="s">
        <v>154</v>
      </c>
      <c r="M38" s="13" t="s">
        <v>155</v>
      </c>
      <c r="N38" s="20" t="str">
        <f>HYPERLINK("http://images.bloomingdales.com/is/image/BLM/11724066 ")</f>
        <v xml:space="preserve">http://images.bloomingdales.com/is/image/BLM/11724066 </v>
      </c>
    </row>
    <row r="39" spans="1:14" x14ac:dyDescent="0.25">
      <c r="A39" s="19" t="s">
        <v>2865</v>
      </c>
      <c r="B39" s="13" t="s">
        <v>2866</v>
      </c>
      <c r="C39" s="8">
        <v>1</v>
      </c>
      <c r="D39" s="9">
        <v>49.99</v>
      </c>
      <c r="E39" s="9">
        <v>49.99</v>
      </c>
      <c r="F39" s="8" t="s">
        <v>2867</v>
      </c>
      <c r="G39" s="13" t="s">
        <v>104</v>
      </c>
      <c r="H39" s="19" t="s">
        <v>27</v>
      </c>
      <c r="I39" s="13" t="s">
        <v>11</v>
      </c>
      <c r="J39" s="13" t="s">
        <v>130</v>
      </c>
      <c r="K39" s="13" t="s">
        <v>131</v>
      </c>
      <c r="L39" s="13"/>
      <c r="M39" s="13"/>
      <c r="N39" s="20" t="str">
        <f>HYPERLINK("http://slimages.macys.com/is/image/MCY/19224737 ")</f>
        <v xml:space="preserve">http://slimages.macys.com/is/image/MCY/19224737 </v>
      </c>
    </row>
    <row r="40" spans="1:14" x14ac:dyDescent="0.25">
      <c r="A40" s="19" t="s">
        <v>612</v>
      </c>
      <c r="B40" s="13" t="s">
        <v>613</v>
      </c>
      <c r="C40" s="8">
        <v>1</v>
      </c>
      <c r="D40" s="9">
        <v>22.99</v>
      </c>
      <c r="E40" s="9">
        <v>22.99</v>
      </c>
      <c r="F40" s="8" t="s">
        <v>134</v>
      </c>
      <c r="G40" s="13" t="s">
        <v>76</v>
      </c>
      <c r="H40" s="19" t="s">
        <v>87</v>
      </c>
      <c r="I40" s="13" t="s">
        <v>11</v>
      </c>
      <c r="J40" s="13" t="s">
        <v>130</v>
      </c>
      <c r="K40" s="13" t="s">
        <v>131</v>
      </c>
      <c r="L40" s="13"/>
      <c r="M40" s="13"/>
      <c r="N40" s="20" t="str">
        <f>HYPERLINK("http://slimages.macys.com/is/image/MCY/20352544 ")</f>
        <v xml:space="preserve">http://slimages.macys.com/is/image/MCY/20352544 </v>
      </c>
    </row>
    <row r="41" spans="1:14" x14ac:dyDescent="0.25">
      <c r="A41" s="19" t="s">
        <v>626</v>
      </c>
      <c r="B41" s="13" t="s">
        <v>627</v>
      </c>
      <c r="C41" s="8">
        <v>1</v>
      </c>
      <c r="D41" s="9">
        <v>22.99</v>
      </c>
      <c r="E41" s="9">
        <v>22.99</v>
      </c>
      <c r="F41" s="8" t="s">
        <v>134</v>
      </c>
      <c r="G41" s="13" t="s">
        <v>82</v>
      </c>
      <c r="H41" s="19" t="s">
        <v>27</v>
      </c>
      <c r="I41" s="13" t="s">
        <v>11</v>
      </c>
      <c r="J41" s="13" t="s">
        <v>130</v>
      </c>
      <c r="K41" s="13" t="s">
        <v>131</v>
      </c>
      <c r="L41" s="13"/>
      <c r="M41" s="13"/>
      <c r="N41" s="20" t="str">
        <f>HYPERLINK("http://slimages.macys.com/is/image/MCY/20352544 ")</f>
        <v xml:space="preserve">http://slimages.macys.com/is/image/MCY/20352544 </v>
      </c>
    </row>
    <row r="42" spans="1:14" x14ac:dyDescent="0.25">
      <c r="A42" s="19" t="s">
        <v>616</v>
      </c>
      <c r="B42" s="13" t="s">
        <v>617</v>
      </c>
      <c r="C42" s="8">
        <v>1</v>
      </c>
      <c r="D42" s="9">
        <v>22.99</v>
      </c>
      <c r="E42" s="9">
        <v>22.99</v>
      </c>
      <c r="F42" s="8" t="s">
        <v>134</v>
      </c>
      <c r="G42" s="13" t="s">
        <v>202</v>
      </c>
      <c r="H42" s="19" t="s">
        <v>32</v>
      </c>
      <c r="I42" s="13" t="s">
        <v>11</v>
      </c>
      <c r="J42" s="13" t="s">
        <v>130</v>
      </c>
      <c r="K42" s="13" t="s">
        <v>131</v>
      </c>
      <c r="L42" s="13"/>
      <c r="M42" s="13"/>
      <c r="N42" s="20" t="str">
        <f>HYPERLINK("http://slimages.macys.com/is/image/MCY/20352544 ")</f>
        <v xml:space="preserve">http://slimages.macys.com/is/image/MCY/20352544 </v>
      </c>
    </row>
    <row r="43" spans="1:14" x14ac:dyDescent="0.25">
      <c r="A43" s="19" t="s">
        <v>2868</v>
      </c>
      <c r="B43" s="13" t="s">
        <v>2869</v>
      </c>
      <c r="C43" s="8">
        <v>2</v>
      </c>
      <c r="D43" s="9">
        <v>29.99</v>
      </c>
      <c r="E43" s="9">
        <v>59.98</v>
      </c>
      <c r="F43" s="8" t="s">
        <v>2759</v>
      </c>
      <c r="G43" s="13" t="s">
        <v>37</v>
      </c>
      <c r="H43" s="19" t="s">
        <v>32</v>
      </c>
      <c r="I43" s="13" t="s">
        <v>11</v>
      </c>
      <c r="J43" s="13" t="s">
        <v>130</v>
      </c>
      <c r="K43" s="13" t="s">
        <v>131</v>
      </c>
      <c r="L43" s="13"/>
      <c r="M43" s="13"/>
      <c r="N43" s="20" t="str">
        <f>HYPERLINK("http://slimages.macys.com/is/image/MCY/19877054 ")</f>
        <v xml:space="preserve">http://slimages.macys.com/is/image/MCY/19877054 </v>
      </c>
    </row>
    <row r="44" spans="1:14" x14ac:dyDescent="0.25">
      <c r="A44" s="19" t="s">
        <v>2870</v>
      </c>
      <c r="B44" s="13" t="s">
        <v>2871</v>
      </c>
      <c r="C44" s="8">
        <v>1</v>
      </c>
      <c r="D44" s="9">
        <v>29.99</v>
      </c>
      <c r="E44" s="9">
        <v>29.99</v>
      </c>
      <c r="F44" s="8" t="s">
        <v>2759</v>
      </c>
      <c r="G44" s="13" t="s">
        <v>37</v>
      </c>
      <c r="H44" s="19" t="s">
        <v>27</v>
      </c>
      <c r="I44" s="13" t="s">
        <v>11</v>
      </c>
      <c r="J44" s="13" t="s">
        <v>130</v>
      </c>
      <c r="K44" s="13" t="s">
        <v>131</v>
      </c>
      <c r="L44" s="13"/>
      <c r="M44" s="13"/>
      <c r="N44" s="20" t="str">
        <f>HYPERLINK("http://slimages.macys.com/is/image/MCY/19877054 ")</f>
        <v xml:space="preserve">http://slimages.macys.com/is/image/MCY/19877054 </v>
      </c>
    </row>
    <row r="45" spans="1:14" x14ac:dyDescent="0.25">
      <c r="A45" s="19" t="s">
        <v>933</v>
      </c>
      <c r="B45" s="13" t="s">
        <v>934</v>
      </c>
      <c r="C45" s="8">
        <v>1</v>
      </c>
      <c r="D45" s="9">
        <v>29.99</v>
      </c>
      <c r="E45" s="9">
        <v>29.99</v>
      </c>
      <c r="F45" s="8" t="s">
        <v>935</v>
      </c>
      <c r="G45" s="13" t="s">
        <v>62</v>
      </c>
      <c r="H45" s="19" t="s">
        <v>27</v>
      </c>
      <c r="I45" s="13" t="s">
        <v>11</v>
      </c>
      <c r="J45" s="13" t="s">
        <v>130</v>
      </c>
      <c r="K45" s="13" t="s">
        <v>131</v>
      </c>
      <c r="L45" s="13"/>
      <c r="M45" s="13"/>
      <c r="N45" s="20" t="str">
        <f>HYPERLINK("http://slimages.macys.com/is/image/MCY/19877054 ")</f>
        <v xml:space="preserve">http://slimages.macys.com/is/image/MCY/19877054 </v>
      </c>
    </row>
    <row r="46" spans="1:14" x14ac:dyDescent="0.25">
      <c r="A46" s="19" t="s">
        <v>1152</v>
      </c>
      <c r="B46" s="13" t="s">
        <v>1153</v>
      </c>
      <c r="C46" s="8">
        <v>1</v>
      </c>
      <c r="D46" s="9">
        <v>29.99</v>
      </c>
      <c r="E46" s="9">
        <v>29.99</v>
      </c>
      <c r="F46" s="8" t="s">
        <v>1154</v>
      </c>
      <c r="G46" s="13" t="s">
        <v>78</v>
      </c>
      <c r="H46" s="19" t="s">
        <v>27</v>
      </c>
      <c r="I46" s="13" t="s">
        <v>11</v>
      </c>
      <c r="J46" s="13" t="s">
        <v>130</v>
      </c>
      <c r="K46" s="13" t="s">
        <v>131</v>
      </c>
      <c r="L46" s="13"/>
      <c r="M46" s="13"/>
      <c r="N46" s="20" t="str">
        <f>HYPERLINK("http://slimages.macys.com/is/image/MCY/19877054 ")</f>
        <v xml:space="preserve">http://slimages.macys.com/is/image/MCY/19877054 </v>
      </c>
    </row>
    <row r="47" spans="1:14" x14ac:dyDescent="0.25">
      <c r="A47" s="19" t="s">
        <v>2872</v>
      </c>
      <c r="B47" s="13" t="s">
        <v>2873</v>
      </c>
      <c r="C47" s="8">
        <v>1</v>
      </c>
      <c r="D47" s="9">
        <v>32.99</v>
      </c>
      <c r="E47" s="9">
        <v>32.99</v>
      </c>
      <c r="F47" s="8" t="s">
        <v>650</v>
      </c>
      <c r="G47" s="13" t="s">
        <v>62</v>
      </c>
      <c r="H47" s="19" t="s">
        <v>27</v>
      </c>
      <c r="I47" s="13" t="s">
        <v>11</v>
      </c>
      <c r="J47" s="13" t="s">
        <v>130</v>
      </c>
      <c r="K47" s="13" t="s">
        <v>131</v>
      </c>
      <c r="L47" s="13"/>
      <c r="M47" s="13"/>
      <c r="N47" s="20" t="str">
        <f>HYPERLINK("http://slimages.macys.com/is/image/MCY/19224695 ")</f>
        <v xml:space="preserve">http://slimages.macys.com/is/image/MCY/19224695 </v>
      </c>
    </row>
    <row r="48" spans="1:14" x14ac:dyDescent="0.25">
      <c r="A48" s="19" t="s">
        <v>651</v>
      </c>
      <c r="B48" s="13" t="s">
        <v>652</v>
      </c>
      <c r="C48" s="8">
        <v>1</v>
      </c>
      <c r="D48" s="9">
        <v>32.99</v>
      </c>
      <c r="E48" s="9">
        <v>32.99</v>
      </c>
      <c r="F48" s="8" t="s">
        <v>644</v>
      </c>
      <c r="G48" s="13" t="s">
        <v>62</v>
      </c>
      <c r="H48" s="19" t="s">
        <v>87</v>
      </c>
      <c r="I48" s="13" t="s">
        <v>11</v>
      </c>
      <c r="J48" s="13" t="s">
        <v>130</v>
      </c>
      <c r="K48" s="13" t="s">
        <v>131</v>
      </c>
      <c r="L48" s="13"/>
      <c r="M48" s="13"/>
      <c r="N48" s="20" t="str">
        <f>HYPERLINK("http://slimages.macys.com/is/image/MCY/19224695 ")</f>
        <v xml:space="preserve">http://slimages.macys.com/is/image/MCY/19224695 </v>
      </c>
    </row>
    <row r="49" spans="1:14" x14ac:dyDescent="0.25">
      <c r="A49" s="19" t="s">
        <v>2960</v>
      </c>
      <c r="B49" s="13" t="s">
        <v>2961</v>
      </c>
      <c r="C49" s="8">
        <v>1</v>
      </c>
      <c r="D49" s="9">
        <v>5.6</v>
      </c>
      <c r="E49" s="9">
        <v>5.6</v>
      </c>
      <c r="F49" s="8">
        <v>100122708</v>
      </c>
      <c r="G49" s="13" t="s">
        <v>31</v>
      </c>
      <c r="H49" s="19" t="s">
        <v>55</v>
      </c>
      <c r="I49" s="13" t="s">
        <v>11</v>
      </c>
      <c r="J49" s="13" t="s">
        <v>457</v>
      </c>
      <c r="K49" s="13" t="s">
        <v>485</v>
      </c>
      <c r="L49" s="13"/>
      <c r="M49" s="13"/>
      <c r="N49" s="20" t="str">
        <f>HYPERLINK("http://slimages.macys.com/is/image/MCY/19787411 ")</f>
        <v xml:space="preserve">http://slimages.macys.com/is/image/MCY/19787411 </v>
      </c>
    </row>
    <row r="50" spans="1:14" x14ac:dyDescent="0.25">
      <c r="A50" s="19" t="s">
        <v>486</v>
      </c>
      <c r="B50" s="13" t="s">
        <v>487</v>
      </c>
      <c r="C50" s="8">
        <v>1</v>
      </c>
      <c r="D50" s="9">
        <v>5.6</v>
      </c>
      <c r="E50" s="9">
        <v>5.6</v>
      </c>
      <c r="F50" s="8">
        <v>100122708</v>
      </c>
      <c r="G50" s="13" t="s">
        <v>31</v>
      </c>
      <c r="H50" s="19" t="s">
        <v>87</v>
      </c>
      <c r="I50" s="13" t="s">
        <v>11</v>
      </c>
      <c r="J50" s="13" t="s">
        <v>457</v>
      </c>
      <c r="K50" s="13" t="s">
        <v>485</v>
      </c>
      <c r="L50" s="13"/>
      <c r="M50" s="13"/>
      <c r="N50" s="20" t="str">
        <f>HYPERLINK("http://slimages.macys.com/is/image/MCY/19787411 ")</f>
        <v xml:space="preserve">http://slimages.macys.com/is/image/MCY/19787411 </v>
      </c>
    </row>
    <row r="51" spans="1:14" x14ac:dyDescent="0.25">
      <c r="A51" s="19" t="s">
        <v>525</v>
      </c>
      <c r="B51" s="13" t="s">
        <v>526</v>
      </c>
      <c r="C51" s="8">
        <v>1</v>
      </c>
      <c r="D51" s="9">
        <v>5.6</v>
      </c>
      <c r="E51" s="9">
        <v>5.6</v>
      </c>
      <c r="F51" s="8">
        <v>100131399</v>
      </c>
      <c r="G51" s="13" t="s">
        <v>104</v>
      </c>
      <c r="H51" s="19" t="s">
        <v>55</v>
      </c>
      <c r="I51" s="13" t="s">
        <v>11</v>
      </c>
      <c r="J51" s="13" t="s">
        <v>457</v>
      </c>
      <c r="K51" s="13" t="s">
        <v>485</v>
      </c>
      <c r="L51" s="13"/>
      <c r="M51" s="13"/>
      <c r="N51" s="20" t="str">
        <f>HYPERLINK("http://slimages.macys.com/is/image/MCY/19412957 ")</f>
        <v xml:space="preserve">http://slimages.macys.com/is/image/MCY/19412957 </v>
      </c>
    </row>
    <row r="52" spans="1:14" x14ac:dyDescent="0.25">
      <c r="A52" s="19" t="s">
        <v>521</v>
      </c>
      <c r="B52" s="13" t="s">
        <v>522</v>
      </c>
      <c r="C52" s="8">
        <v>1</v>
      </c>
      <c r="D52" s="9">
        <v>5.6</v>
      </c>
      <c r="E52" s="9">
        <v>5.6</v>
      </c>
      <c r="F52" s="8">
        <v>100131399</v>
      </c>
      <c r="G52" s="13" t="s">
        <v>104</v>
      </c>
      <c r="H52" s="19" t="s">
        <v>27</v>
      </c>
      <c r="I52" s="13" t="s">
        <v>11</v>
      </c>
      <c r="J52" s="13" t="s">
        <v>457</v>
      </c>
      <c r="K52" s="13" t="s">
        <v>485</v>
      </c>
      <c r="L52" s="13"/>
      <c r="M52" s="13"/>
      <c r="N52" s="20" t="str">
        <f>HYPERLINK("http://slimages.macys.com/is/image/MCY/19412957 ")</f>
        <v xml:space="preserve">http://slimages.macys.com/is/image/MCY/19412957 </v>
      </c>
    </row>
    <row r="53" spans="1:14" x14ac:dyDescent="0.25">
      <c r="A53" s="19" t="s">
        <v>529</v>
      </c>
      <c r="B53" s="13" t="s">
        <v>530</v>
      </c>
      <c r="C53" s="8">
        <v>1</v>
      </c>
      <c r="D53" s="9">
        <v>5.6</v>
      </c>
      <c r="E53" s="9">
        <v>5.6</v>
      </c>
      <c r="F53" s="8">
        <v>100131399</v>
      </c>
      <c r="G53" s="13" t="s">
        <v>104</v>
      </c>
      <c r="H53" s="19" t="s">
        <v>87</v>
      </c>
      <c r="I53" s="13" t="s">
        <v>11</v>
      </c>
      <c r="J53" s="13" t="s">
        <v>457</v>
      </c>
      <c r="K53" s="13" t="s">
        <v>485</v>
      </c>
      <c r="L53" s="13"/>
      <c r="M53" s="13"/>
      <c r="N53" s="20" t="str">
        <f>HYPERLINK("http://slimages.macys.com/is/image/MCY/19412957 ")</f>
        <v xml:space="preserve">http://slimages.macys.com/is/image/MCY/19412957 </v>
      </c>
    </row>
    <row r="54" spans="1:14" x14ac:dyDescent="0.25">
      <c r="A54" s="19" t="s">
        <v>881</v>
      </c>
      <c r="B54" s="13" t="s">
        <v>882</v>
      </c>
      <c r="C54" s="8">
        <v>2</v>
      </c>
      <c r="D54" s="9">
        <v>5.6</v>
      </c>
      <c r="E54" s="9">
        <v>11.2</v>
      </c>
      <c r="F54" s="8">
        <v>100131406</v>
      </c>
      <c r="G54" s="13" t="s">
        <v>62</v>
      </c>
      <c r="H54" s="19" t="s">
        <v>40</v>
      </c>
      <c r="I54" s="13" t="s">
        <v>11</v>
      </c>
      <c r="J54" s="13" t="s">
        <v>457</v>
      </c>
      <c r="K54" s="13" t="s">
        <v>485</v>
      </c>
      <c r="L54" s="13"/>
      <c r="M54" s="13"/>
      <c r="N54" s="20" t="str">
        <f>HYPERLINK("http://slimages.macys.com/is/image/MCY/19412957 ")</f>
        <v xml:space="preserve">http://slimages.macys.com/is/image/MCY/19412957 </v>
      </c>
    </row>
    <row r="55" spans="1:14" x14ac:dyDescent="0.25">
      <c r="A55" s="19" t="s">
        <v>875</v>
      </c>
      <c r="B55" s="13" t="s">
        <v>876</v>
      </c>
      <c r="C55" s="8">
        <v>2</v>
      </c>
      <c r="D55" s="9">
        <v>5.6</v>
      </c>
      <c r="E55" s="9">
        <v>11.2</v>
      </c>
      <c r="F55" s="8">
        <v>100131406</v>
      </c>
      <c r="G55" s="13" t="s">
        <v>62</v>
      </c>
      <c r="H55" s="19" t="s">
        <v>55</v>
      </c>
      <c r="I55" s="13" t="s">
        <v>11</v>
      </c>
      <c r="J55" s="13" t="s">
        <v>457</v>
      </c>
      <c r="K55" s="13" t="s">
        <v>485</v>
      </c>
      <c r="L55" s="13"/>
      <c r="M55" s="13"/>
      <c r="N55" s="20" t="str">
        <f>HYPERLINK("http://slimages.macys.com/is/image/MCY/19877130 ")</f>
        <v xml:space="preserve">http://slimages.macys.com/is/image/MCY/19877130 </v>
      </c>
    </row>
    <row r="56" spans="1:14" x14ac:dyDescent="0.25">
      <c r="A56" s="19" t="s">
        <v>523</v>
      </c>
      <c r="B56" s="13" t="s">
        <v>524</v>
      </c>
      <c r="C56" s="8">
        <v>2</v>
      </c>
      <c r="D56" s="9">
        <v>5.6</v>
      </c>
      <c r="E56" s="9">
        <v>11.2</v>
      </c>
      <c r="F56" s="8">
        <v>100131406</v>
      </c>
      <c r="G56" s="13" t="s">
        <v>62</v>
      </c>
      <c r="H56" s="19" t="s">
        <v>27</v>
      </c>
      <c r="I56" s="13" t="s">
        <v>11</v>
      </c>
      <c r="J56" s="13" t="s">
        <v>457</v>
      </c>
      <c r="K56" s="13" t="s">
        <v>485</v>
      </c>
      <c r="L56" s="13"/>
      <c r="M56" s="13"/>
      <c r="N56" s="20" t="str">
        <f>HYPERLINK("http://slimages.macys.com/is/image/MCY/19877130 ")</f>
        <v xml:space="preserve">http://slimages.macys.com/is/image/MCY/19877130 </v>
      </c>
    </row>
    <row r="57" spans="1:14" x14ac:dyDescent="0.25">
      <c r="A57" s="19" t="s">
        <v>527</v>
      </c>
      <c r="B57" s="13" t="s">
        <v>528</v>
      </c>
      <c r="C57" s="8">
        <v>1</v>
      </c>
      <c r="D57" s="9">
        <v>5.6</v>
      </c>
      <c r="E57" s="9">
        <v>5.6</v>
      </c>
      <c r="F57" s="8">
        <v>100131406</v>
      </c>
      <c r="G57" s="13" t="s">
        <v>62</v>
      </c>
      <c r="H57" s="19" t="s">
        <v>87</v>
      </c>
      <c r="I57" s="13" t="s">
        <v>11</v>
      </c>
      <c r="J57" s="13" t="s">
        <v>457</v>
      </c>
      <c r="K57" s="13" t="s">
        <v>485</v>
      </c>
      <c r="L57" s="13"/>
      <c r="M57" s="13"/>
      <c r="N57" s="20" t="str">
        <f>HYPERLINK("http://slimages.macys.com/is/image/MCY/19877130 ")</f>
        <v xml:space="preserve">http://slimages.macys.com/is/image/MCY/19877130 </v>
      </c>
    </row>
    <row r="58" spans="1:14" x14ac:dyDescent="0.25">
      <c r="A58" s="19" t="s">
        <v>843</v>
      </c>
      <c r="B58" s="13" t="s">
        <v>844</v>
      </c>
      <c r="C58" s="8">
        <v>4</v>
      </c>
      <c r="D58" s="9">
        <v>5.6</v>
      </c>
      <c r="E58" s="9">
        <v>22.4</v>
      </c>
      <c r="F58" s="8">
        <v>100131403</v>
      </c>
      <c r="G58" s="13" t="s">
        <v>62</v>
      </c>
      <c r="H58" s="19" t="s">
        <v>40</v>
      </c>
      <c r="I58" s="13" t="s">
        <v>11</v>
      </c>
      <c r="J58" s="13" t="s">
        <v>457</v>
      </c>
      <c r="K58" s="13" t="s">
        <v>485</v>
      </c>
      <c r="L58" s="13"/>
      <c r="M58" s="13"/>
      <c r="N58" s="20" t="str">
        <f>HYPERLINK("http://slimages.macys.com/is/image/MCY/19412957 ")</f>
        <v xml:space="preserve">http://slimages.macys.com/is/image/MCY/19412957 </v>
      </c>
    </row>
    <row r="59" spans="1:14" x14ac:dyDescent="0.25">
      <c r="A59" s="19" t="s">
        <v>1099</v>
      </c>
      <c r="B59" s="13" t="s">
        <v>1100</v>
      </c>
      <c r="C59" s="8">
        <v>3</v>
      </c>
      <c r="D59" s="9">
        <v>5.6</v>
      </c>
      <c r="E59" s="9">
        <v>16.8</v>
      </c>
      <c r="F59" s="8">
        <v>100131403</v>
      </c>
      <c r="G59" s="13" t="s">
        <v>62</v>
      </c>
      <c r="H59" s="19" t="s">
        <v>55</v>
      </c>
      <c r="I59" s="13" t="s">
        <v>11</v>
      </c>
      <c r="J59" s="13" t="s">
        <v>457</v>
      </c>
      <c r="K59" s="13" t="s">
        <v>485</v>
      </c>
      <c r="L59" s="13"/>
      <c r="M59" s="13"/>
      <c r="N59" s="20" t="str">
        <f>HYPERLINK("http://slimages.macys.com/is/image/MCY/19877130 ")</f>
        <v xml:space="preserve">http://slimages.macys.com/is/image/MCY/19877130 </v>
      </c>
    </row>
    <row r="60" spans="1:14" x14ac:dyDescent="0.25">
      <c r="A60" s="19" t="s">
        <v>507</v>
      </c>
      <c r="B60" s="13" t="s">
        <v>508</v>
      </c>
      <c r="C60" s="8">
        <v>2</v>
      </c>
      <c r="D60" s="9">
        <v>5.6</v>
      </c>
      <c r="E60" s="9">
        <v>11.2</v>
      </c>
      <c r="F60" s="8">
        <v>100131403</v>
      </c>
      <c r="G60" s="13" t="s">
        <v>62</v>
      </c>
      <c r="H60" s="19" t="s">
        <v>27</v>
      </c>
      <c r="I60" s="13" t="s">
        <v>11</v>
      </c>
      <c r="J60" s="13" t="s">
        <v>457</v>
      </c>
      <c r="K60" s="13" t="s">
        <v>485</v>
      </c>
      <c r="L60" s="13"/>
      <c r="M60" s="13"/>
      <c r="N60" s="20" t="str">
        <f>HYPERLINK("http://slimages.macys.com/is/image/MCY/19877130 ")</f>
        <v xml:space="preserve">http://slimages.macys.com/is/image/MCY/19877130 </v>
      </c>
    </row>
    <row r="61" spans="1:14" x14ac:dyDescent="0.25">
      <c r="A61" s="19" t="s">
        <v>503</v>
      </c>
      <c r="B61" s="13" t="s">
        <v>504</v>
      </c>
      <c r="C61" s="8">
        <v>3</v>
      </c>
      <c r="D61" s="9">
        <v>5.6</v>
      </c>
      <c r="E61" s="9">
        <v>16.8</v>
      </c>
      <c r="F61" s="8">
        <v>100131403</v>
      </c>
      <c r="G61" s="13" t="s">
        <v>62</v>
      </c>
      <c r="H61" s="19" t="s">
        <v>87</v>
      </c>
      <c r="I61" s="13" t="s">
        <v>11</v>
      </c>
      <c r="J61" s="13" t="s">
        <v>457</v>
      </c>
      <c r="K61" s="13" t="s">
        <v>485</v>
      </c>
      <c r="L61" s="13"/>
      <c r="M61" s="13"/>
      <c r="N61" s="20" t="str">
        <f>HYPERLINK("http://slimages.macys.com/is/image/MCY/19877130 ")</f>
        <v xml:space="preserve">http://slimages.macys.com/is/image/MCY/19877130 </v>
      </c>
    </row>
    <row r="62" spans="1:14" x14ac:dyDescent="0.25">
      <c r="A62" s="19" t="s">
        <v>1579</v>
      </c>
      <c r="B62" s="13" t="s">
        <v>1580</v>
      </c>
      <c r="C62" s="8">
        <v>12</v>
      </c>
      <c r="D62" s="9">
        <v>48.3</v>
      </c>
      <c r="E62" s="9">
        <v>579.6</v>
      </c>
      <c r="F62" s="8" t="s">
        <v>552</v>
      </c>
      <c r="G62" s="13" t="s">
        <v>83</v>
      </c>
      <c r="H62" s="19" t="s">
        <v>227</v>
      </c>
      <c r="I62" s="13" t="s">
        <v>11</v>
      </c>
      <c r="J62" s="13" t="s">
        <v>539</v>
      </c>
      <c r="K62" s="13" t="s">
        <v>551</v>
      </c>
      <c r="L62" s="13"/>
      <c r="M62" s="13"/>
      <c r="N62" s="20" t="str">
        <f>HYPERLINK("http://slimages.macys.com/is/image/MCY/19781798 ")</f>
        <v xml:space="preserve">http://slimages.macys.com/is/image/MCY/19781798 </v>
      </c>
    </row>
    <row r="63" spans="1:14" x14ac:dyDescent="0.25">
      <c r="A63" s="19" t="s">
        <v>2931</v>
      </c>
      <c r="B63" s="13" t="s">
        <v>2932</v>
      </c>
      <c r="C63" s="8">
        <v>1</v>
      </c>
      <c r="D63" s="9">
        <v>44</v>
      </c>
      <c r="E63" s="9">
        <v>44</v>
      </c>
      <c r="F63" s="8" t="s">
        <v>2933</v>
      </c>
      <c r="G63" s="13" t="s">
        <v>76</v>
      </c>
      <c r="H63" s="19" t="s">
        <v>231</v>
      </c>
      <c r="I63" s="13" t="s">
        <v>11</v>
      </c>
      <c r="J63" s="13" t="s">
        <v>343</v>
      </c>
      <c r="K63" s="13" t="s">
        <v>344</v>
      </c>
      <c r="L63" s="13"/>
      <c r="M63" s="13"/>
      <c r="N63" s="20" t="str">
        <f>HYPERLINK("http://slimages.macys.com/is/image/MCY/18271488 ")</f>
        <v xml:space="preserve">http://slimages.macys.com/is/image/MCY/18271488 </v>
      </c>
    </row>
    <row r="64" spans="1:14" x14ac:dyDescent="0.25">
      <c r="A64" s="19" t="s">
        <v>2936</v>
      </c>
      <c r="B64" s="13" t="s">
        <v>2937</v>
      </c>
      <c r="C64" s="8">
        <v>1</v>
      </c>
      <c r="D64" s="9">
        <v>33</v>
      </c>
      <c r="E64" s="9">
        <v>33</v>
      </c>
      <c r="F64" s="8" t="s">
        <v>2938</v>
      </c>
      <c r="G64" s="13" t="s">
        <v>349</v>
      </c>
      <c r="H64" s="19" t="s">
        <v>286</v>
      </c>
      <c r="I64" s="13" t="s">
        <v>11</v>
      </c>
      <c r="J64" s="13" t="s">
        <v>343</v>
      </c>
      <c r="K64" s="13" t="s">
        <v>2939</v>
      </c>
      <c r="L64" s="13"/>
      <c r="M64" s="13"/>
      <c r="N64" s="20" t="str">
        <f>HYPERLINK("http://slimages.macys.com/is/image/MCY/8486055 ")</f>
        <v xml:space="preserve">http://slimages.macys.com/is/image/MCY/8486055 </v>
      </c>
    </row>
    <row r="65" spans="1:14" x14ac:dyDescent="0.25">
      <c r="A65" s="19" t="s">
        <v>2795</v>
      </c>
      <c r="B65" s="13" t="s">
        <v>2796</v>
      </c>
      <c r="C65" s="8">
        <v>1</v>
      </c>
      <c r="D65" s="9">
        <v>58</v>
      </c>
      <c r="E65" s="9">
        <v>58</v>
      </c>
      <c r="F65" s="8">
        <v>900634</v>
      </c>
      <c r="G65" s="13" t="s">
        <v>31</v>
      </c>
      <c r="H65" s="19" t="s">
        <v>55</v>
      </c>
      <c r="I65" s="13" t="s">
        <v>11</v>
      </c>
      <c r="J65" s="13" t="s">
        <v>343</v>
      </c>
      <c r="K65" s="13" t="s">
        <v>354</v>
      </c>
      <c r="L65" s="13"/>
      <c r="M65" s="13"/>
      <c r="N65" s="20" t="str">
        <f>HYPERLINK("http://slimages.macys.com/is/image/MCY/19539454 ")</f>
        <v xml:space="preserve">http://slimages.macys.com/is/image/MCY/19539454 </v>
      </c>
    </row>
    <row r="66" spans="1:14" x14ac:dyDescent="0.25">
      <c r="A66" s="19" t="s">
        <v>1617</v>
      </c>
      <c r="B66" s="13" t="s">
        <v>1618</v>
      </c>
      <c r="C66" s="8">
        <v>3</v>
      </c>
      <c r="D66" s="9">
        <v>72</v>
      </c>
      <c r="E66" s="9">
        <v>216</v>
      </c>
      <c r="F66" s="8">
        <v>900637</v>
      </c>
      <c r="G66" s="13" t="s">
        <v>488</v>
      </c>
      <c r="H66" s="19" t="s">
        <v>40</v>
      </c>
      <c r="I66" s="13" t="s">
        <v>11</v>
      </c>
      <c r="J66" s="13" t="s">
        <v>343</v>
      </c>
      <c r="K66" s="13" t="s">
        <v>354</v>
      </c>
      <c r="L66" s="13"/>
      <c r="M66" s="13"/>
      <c r="N66" s="20" t="str">
        <f>HYPERLINK("http://slimages.macys.com/is/image/MCY/19539451 ")</f>
        <v xml:space="preserve">http://slimages.macys.com/is/image/MCY/19539451 </v>
      </c>
    </row>
    <row r="67" spans="1:14" x14ac:dyDescent="0.25">
      <c r="A67" s="19" t="s">
        <v>2842</v>
      </c>
      <c r="B67" s="13" t="s">
        <v>2843</v>
      </c>
      <c r="C67" s="8">
        <v>3</v>
      </c>
      <c r="D67" s="9">
        <v>58</v>
      </c>
      <c r="E67" s="9">
        <v>174</v>
      </c>
      <c r="F67" s="8">
        <v>900647</v>
      </c>
      <c r="G67" s="13" t="s">
        <v>488</v>
      </c>
      <c r="H67" s="19" t="s">
        <v>32</v>
      </c>
      <c r="I67" s="13" t="s">
        <v>11</v>
      </c>
      <c r="J67" s="13" t="s">
        <v>343</v>
      </c>
      <c r="K67" s="13" t="s">
        <v>354</v>
      </c>
      <c r="L67" s="13"/>
      <c r="M67" s="13"/>
      <c r="N67" s="20" t="str">
        <f>HYPERLINK("http://slimages.macys.com/is/image/MCY/19539364 ")</f>
        <v xml:space="preserve">http://slimages.macys.com/is/image/MCY/19539364 </v>
      </c>
    </row>
    <row r="68" spans="1:14" x14ac:dyDescent="0.25">
      <c r="A68" s="19" t="s">
        <v>1469</v>
      </c>
      <c r="B68" s="13" t="s">
        <v>1470</v>
      </c>
      <c r="C68" s="8">
        <v>10</v>
      </c>
      <c r="D68" s="9">
        <v>58</v>
      </c>
      <c r="E68" s="9">
        <v>580</v>
      </c>
      <c r="F68" s="8">
        <v>900647</v>
      </c>
      <c r="G68" s="13" t="s">
        <v>488</v>
      </c>
      <c r="H68" s="19" t="s">
        <v>40</v>
      </c>
      <c r="I68" s="13" t="s">
        <v>11</v>
      </c>
      <c r="J68" s="13" t="s">
        <v>343</v>
      </c>
      <c r="K68" s="13" t="s">
        <v>354</v>
      </c>
      <c r="L68" s="13"/>
      <c r="M68" s="13"/>
      <c r="N68" s="20" t="str">
        <f>HYPERLINK("http://slimages.macys.com/is/image/MCY/19539364 ")</f>
        <v xml:space="preserve">http://slimages.macys.com/is/image/MCY/19539364 </v>
      </c>
    </row>
    <row r="69" spans="1:14" x14ac:dyDescent="0.25">
      <c r="A69" s="19" t="s">
        <v>2946</v>
      </c>
      <c r="B69" s="13" t="s">
        <v>2947</v>
      </c>
      <c r="C69" s="8">
        <v>1</v>
      </c>
      <c r="D69" s="9">
        <v>38</v>
      </c>
      <c r="E69" s="9">
        <v>38</v>
      </c>
      <c r="F69" s="8">
        <v>900531</v>
      </c>
      <c r="G69" s="13" t="s">
        <v>31</v>
      </c>
      <c r="H69" s="19"/>
      <c r="I69" s="13" t="s">
        <v>11</v>
      </c>
      <c r="J69" s="13" t="s">
        <v>343</v>
      </c>
      <c r="K69" s="13" t="s">
        <v>354</v>
      </c>
      <c r="L69" s="13"/>
      <c r="M69" s="13"/>
      <c r="N69" s="20" t="str">
        <f>HYPERLINK("http://slimages.macys.com/is/image/MCY/18913853 ")</f>
        <v xml:space="preserve">http://slimages.macys.com/is/image/MCY/18913853 </v>
      </c>
    </row>
    <row r="70" spans="1:14" x14ac:dyDescent="0.25">
      <c r="A70" s="19" t="s">
        <v>2948</v>
      </c>
      <c r="B70" s="13" t="s">
        <v>2949</v>
      </c>
      <c r="C70" s="8">
        <v>1</v>
      </c>
      <c r="D70" s="9">
        <v>26</v>
      </c>
      <c r="E70" s="9">
        <v>26</v>
      </c>
      <c r="F70" s="8">
        <v>740121</v>
      </c>
      <c r="G70" s="13" t="s">
        <v>488</v>
      </c>
      <c r="H70" s="19" t="s">
        <v>40</v>
      </c>
      <c r="I70" s="13" t="s">
        <v>11</v>
      </c>
      <c r="J70" s="13" t="s">
        <v>343</v>
      </c>
      <c r="K70" s="13" t="s">
        <v>354</v>
      </c>
      <c r="L70" s="13"/>
      <c r="M70" s="13"/>
      <c r="N70" s="20" t="str">
        <f>HYPERLINK("http://slimages.macys.com/is/image/MCY/19385286 ")</f>
        <v xml:space="preserve">http://slimages.macys.com/is/image/MCY/19385286 </v>
      </c>
    </row>
    <row r="71" spans="1:14" x14ac:dyDescent="0.25">
      <c r="A71" s="19" t="s">
        <v>2940</v>
      </c>
      <c r="B71" s="13" t="s">
        <v>2941</v>
      </c>
      <c r="C71" s="8">
        <v>1</v>
      </c>
      <c r="D71" s="9">
        <v>24</v>
      </c>
      <c r="E71" s="9">
        <v>24</v>
      </c>
      <c r="F71" s="8">
        <v>900581</v>
      </c>
      <c r="G71" s="13" t="s">
        <v>349</v>
      </c>
      <c r="H71" s="19" t="s">
        <v>32</v>
      </c>
      <c r="I71" s="13" t="s">
        <v>11</v>
      </c>
      <c r="J71" s="13" t="s">
        <v>343</v>
      </c>
      <c r="K71" s="13" t="s">
        <v>354</v>
      </c>
      <c r="L71" s="13"/>
      <c r="M71" s="13"/>
      <c r="N71" s="20" t="str">
        <f>HYPERLINK("http://slimages.macys.com/is/image/MCY/18827308 ")</f>
        <v xml:space="preserve">http://slimages.macys.com/is/image/MCY/18827308 </v>
      </c>
    </row>
    <row r="72" spans="1:14" x14ac:dyDescent="0.25">
      <c r="A72" s="19" t="s">
        <v>2929</v>
      </c>
      <c r="B72" s="13" t="s">
        <v>2930</v>
      </c>
      <c r="C72" s="8">
        <v>1</v>
      </c>
      <c r="D72" s="9">
        <v>49</v>
      </c>
      <c r="E72" s="9">
        <v>49</v>
      </c>
      <c r="F72" s="8">
        <v>62920</v>
      </c>
      <c r="G72" s="13" t="s">
        <v>349</v>
      </c>
      <c r="H72" s="19" t="s">
        <v>32</v>
      </c>
      <c r="I72" s="13" t="s">
        <v>11</v>
      </c>
      <c r="J72" s="13" t="s">
        <v>343</v>
      </c>
      <c r="K72" s="13" t="s">
        <v>347</v>
      </c>
      <c r="L72" s="13"/>
      <c r="M72" s="13"/>
      <c r="N72" s="20" t="str">
        <f>HYPERLINK("http://slimages.macys.com/is/image/MCY/19337565 ")</f>
        <v xml:space="preserve">http://slimages.macys.com/is/image/MCY/19337565 </v>
      </c>
    </row>
    <row r="73" spans="1:14" x14ac:dyDescent="0.25">
      <c r="A73" s="19" t="s">
        <v>2942</v>
      </c>
      <c r="B73" s="13" t="s">
        <v>2943</v>
      </c>
      <c r="C73" s="8">
        <v>1</v>
      </c>
      <c r="D73" s="9">
        <v>28.99</v>
      </c>
      <c r="E73" s="9">
        <v>28.99</v>
      </c>
      <c r="F73" s="8" t="s">
        <v>1761</v>
      </c>
      <c r="G73" s="13" t="s">
        <v>195</v>
      </c>
      <c r="H73" s="19" t="s">
        <v>40</v>
      </c>
      <c r="I73" s="13" t="s">
        <v>11</v>
      </c>
      <c r="J73" s="13" t="s">
        <v>343</v>
      </c>
      <c r="K73" s="13" t="s">
        <v>372</v>
      </c>
      <c r="L73" s="13"/>
      <c r="M73" s="13"/>
      <c r="N73" s="20" t="str">
        <f>HYPERLINK("http://slimages.macys.com/is/image/MCY/20468754 ")</f>
        <v xml:space="preserve">http://slimages.macys.com/is/image/MCY/20468754 </v>
      </c>
    </row>
    <row r="74" spans="1:14" x14ac:dyDescent="0.25">
      <c r="A74" s="19" t="s">
        <v>1477</v>
      </c>
      <c r="B74" s="13" t="s">
        <v>1478</v>
      </c>
      <c r="C74" s="8">
        <v>10</v>
      </c>
      <c r="D74" s="9">
        <v>64</v>
      </c>
      <c r="E74" s="9">
        <v>640</v>
      </c>
      <c r="F74" s="8" t="s">
        <v>1248</v>
      </c>
      <c r="G74" s="13" t="s">
        <v>102</v>
      </c>
      <c r="H74" s="19" t="s">
        <v>32</v>
      </c>
      <c r="I74" s="13" t="s">
        <v>11</v>
      </c>
      <c r="J74" s="13" t="s">
        <v>343</v>
      </c>
      <c r="K74" s="13" t="s">
        <v>372</v>
      </c>
      <c r="L74" s="13"/>
      <c r="M74" s="13"/>
      <c r="N74" s="20" t="str">
        <f>HYPERLINK("http://slimages.macys.com/is/image/MCY/20341256 ")</f>
        <v xml:space="preserve">http://slimages.macys.com/is/image/MCY/20341256 </v>
      </c>
    </row>
    <row r="75" spans="1:14" x14ac:dyDescent="0.25">
      <c r="A75" s="19" t="s">
        <v>1351</v>
      </c>
      <c r="B75" s="13" t="s">
        <v>1352</v>
      </c>
      <c r="C75" s="8">
        <v>1</v>
      </c>
      <c r="D75" s="9">
        <v>40</v>
      </c>
      <c r="E75" s="9">
        <v>40</v>
      </c>
      <c r="F75" s="8">
        <v>100131764</v>
      </c>
      <c r="G75" s="13" t="s">
        <v>76</v>
      </c>
      <c r="H75" s="19" t="s">
        <v>32</v>
      </c>
      <c r="I75" s="13" t="s">
        <v>11</v>
      </c>
      <c r="J75" s="13" t="s">
        <v>427</v>
      </c>
      <c r="K75" s="13" t="s">
        <v>428</v>
      </c>
      <c r="L75" s="13"/>
      <c r="M75" s="13"/>
      <c r="N75" s="20" t="str">
        <f>HYPERLINK("http://slimages.macys.com/is/image/MCY/19817424 ")</f>
        <v xml:space="preserve">http://slimages.macys.com/is/image/MCY/19817424 </v>
      </c>
    </row>
    <row r="76" spans="1:14" x14ac:dyDescent="0.25">
      <c r="A76" s="19" t="s">
        <v>1349</v>
      </c>
      <c r="B76" s="13" t="s">
        <v>1350</v>
      </c>
      <c r="C76" s="8">
        <v>2</v>
      </c>
      <c r="D76" s="9">
        <v>40</v>
      </c>
      <c r="E76" s="9">
        <v>80</v>
      </c>
      <c r="F76" s="8">
        <v>100131764</v>
      </c>
      <c r="G76" s="13" t="s">
        <v>76</v>
      </c>
      <c r="H76" s="19" t="s">
        <v>27</v>
      </c>
      <c r="I76" s="13" t="s">
        <v>11</v>
      </c>
      <c r="J76" s="13" t="s">
        <v>427</v>
      </c>
      <c r="K76" s="13" t="s">
        <v>428</v>
      </c>
      <c r="L76" s="13"/>
      <c r="M76" s="13"/>
      <c r="N76" s="20" t="str">
        <f>HYPERLINK("http://slimages.macys.com/is/image/MCY/19817424 ")</f>
        <v xml:space="preserve">http://slimages.macys.com/is/image/MCY/19817424 </v>
      </c>
    </row>
    <row r="77" spans="1:14" x14ac:dyDescent="0.25">
      <c r="A77" s="19" t="s">
        <v>445</v>
      </c>
      <c r="B77" s="13" t="s">
        <v>446</v>
      </c>
      <c r="C77" s="8">
        <v>1</v>
      </c>
      <c r="D77" s="9">
        <v>19.989999999999998</v>
      </c>
      <c r="E77" s="9">
        <v>19.989999999999998</v>
      </c>
      <c r="F77" s="8">
        <v>100137976</v>
      </c>
      <c r="G77" s="13" t="s">
        <v>37</v>
      </c>
      <c r="H77" s="19" t="s">
        <v>40</v>
      </c>
      <c r="I77" s="13" t="s">
        <v>11</v>
      </c>
      <c r="J77" s="13" t="s">
        <v>427</v>
      </c>
      <c r="K77" s="13" t="s">
        <v>428</v>
      </c>
      <c r="L77" s="13"/>
      <c r="M77" s="13"/>
      <c r="N77" s="20" t="str">
        <f>HYPERLINK("http://slimages.macys.com/is/image/MCY/19877241 ")</f>
        <v xml:space="preserve">http://slimages.macys.com/is/image/MCY/19877241 </v>
      </c>
    </row>
    <row r="78" spans="1:14" x14ac:dyDescent="0.25">
      <c r="A78" s="19" t="s">
        <v>443</v>
      </c>
      <c r="B78" s="13" t="s">
        <v>444</v>
      </c>
      <c r="C78" s="8">
        <v>1</v>
      </c>
      <c r="D78" s="9">
        <v>19.989999999999998</v>
      </c>
      <c r="E78" s="9">
        <v>19.989999999999998</v>
      </c>
      <c r="F78" s="8">
        <v>100137976</v>
      </c>
      <c r="G78" s="13" t="s">
        <v>37</v>
      </c>
      <c r="H78" s="19" t="s">
        <v>55</v>
      </c>
      <c r="I78" s="13" t="s">
        <v>11</v>
      </c>
      <c r="J78" s="13" t="s">
        <v>427</v>
      </c>
      <c r="K78" s="13" t="s">
        <v>428</v>
      </c>
      <c r="L78" s="13"/>
      <c r="M78" s="13"/>
      <c r="N78" s="20" t="str">
        <f>HYPERLINK("http://slimages.macys.com/is/image/MCY/19877241 ")</f>
        <v xml:space="preserve">http://slimages.macys.com/is/image/MCY/19877241 </v>
      </c>
    </row>
    <row r="79" spans="1:14" x14ac:dyDescent="0.25">
      <c r="A79" s="19" t="s">
        <v>439</v>
      </c>
      <c r="B79" s="13" t="s">
        <v>440</v>
      </c>
      <c r="C79" s="8">
        <v>1</v>
      </c>
      <c r="D79" s="9">
        <v>19.989999999999998</v>
      </c>
      <c r="E79" s="9">
        <v>19.989999999999998</v>
      </c>
      <c r="F79" s="8">
        <v>100117215</v>
      </c>
      <c r="G79" s="13" t="s">
        <v>205</v>
      </c>
      <c r="H79" s="19" t="s">
        <v>32</v>
      </c>
      <c r="I79" s="13" t="s">
        <v>11</v>
      </c>
      <c r="J79" s="13" t="s">
        <v>427</v>
      </c>
      <c r="K79" s="13" t="s">
        <v>428</v>
      </c>
      <c r="L79" s="13"/>
      <c r="M79" s="13"/>
      <c r="N79" s="20" t="str">
        <f>HYPERLINK("http://slimages.macys.com/is/image/MCY/19278365 ")</f>
        <v xml:space="preserve">http://slimages.macys.com/is/image/MCY/19278365 </v>
      </c>
    </row>
    <row r="80" spans="1:14" x14ac:dyDescent="0.25">
      <c r="A80" s="19" t="s">
        <v>2958</v>
      </c>
      <c r="B80" s="13" t="s">
        <v>2959</v>
      </c>
      <c r="C80" s="8">
        <v>1</v>
      </c>
      <c r="D80" s="9">
        <v>19.989999999999998</v>
      </c>
      <c r="E80" s="9">
        <v>19.989999999999998</v>
      </c>
      <c r="F80" s="8">
        <v>100117215</v>
      </c>
      <c r="G80" s="13" t="s">
        <v>107</v>
      </c>
      <c r="H80" s="19" t="s">
        <v>55</v>
      </c>
      <c r="I80" s="13" t="s">
        <v>11</v>
      </c>
      <c r="J80" s="13" t="s">
        <v>427</v>
      </c>
      <c r="K80" s="13" t="s">
        <v>428</v>
      </c>
      <c r="L80" s="13"/>
      <c r="M80" s="13"/>
      <c r="N80" s="20" t="str">
        <f>HYPERLINK("http://slimages.macys.com/is/image/MCY/20549944 ")</f>
        <v xml:space="preserve">http://slimages.macys.com/is/image/MCY/20549944 </v>
      </c>
    </row>
    <row r="81" spans="1:14" x14ac:dyDescent="0.25">
      <c r="A81" s="19" t="s">
        <v>1818</v>
      </c>
      <c r="B81" s="13" t="s">
        <v>1819</v>
      </c>
      <c r="C81" s="8">
        <v>1</v>
      </c>
      <c r="D81" s="9">
        <v>19.989999999999998</v>
      </c>
      <c r="E81" s="9">
        <v>19.989999999999998</v>
      </c>
      <c r="F81" s="8">
        <v>100117215</v>
      </c>
      <c r="G81" s="13" t="s">
        <v>57</v>
      </c>
      <c r="H81" s="19" t="s">
        <v>40</v>
      </c>
      <c r="I81" s="13" t="s">
        <v>11</v>
      </c>
      <c r="J81" s="13" t="s">
        <v>427</v>
      </c>
      <c r="K81" s="13" t="s">
        <v>428</v>
      </c>
      <c r="L81" s="13"/>
      <c r="M81" s="13"/>
      <c r="N81" s="20" t="str">
        <f>HYPERLINK("http://slimages.macys.com/is/image/MCY/1059719 ")</f>
        <v xml:space="preserve">http://slimages.macys.com/is/image/MCY/1059719 </v>
      </c>
    </row>
    <row r="82" spans="1:14" x14ac:dyDescent="0.25">
      <c r="A82" s="19" t="s">
        <v>1371</v>
      </c>
      <c r="B82" s="13" t="s">
        <v>1372</v>
      </c>
      <c r="C82" s="8">
        <v>1</v>
      </c>
      <c r="D82" s="9">
        <v>19.989999999999998</v>
      </c>
      <c r="E82" s="9">
        <v>19.989999999999998</v>
      </c>
      <c r="F82" s="8">
        <v>100117215</v>
      </c>
      <c r="G82" s="13" t="s">
        <v>104</v>
      </c>
      <c r="H82" s="19" t="s">
        <v>32</v>
      </c>
      <c r="I82" s="13" t="s">
        <v>11</v>
      </c>
      <c r="J82" s="13" t="s">
        <v>427</v>
      </c>
      <c r="K82" s="13" t="s">
        <v>428</v>
      </c>
      <c r="L82" s="13"/>
      <c r="M82" s="13"/>
      <c r="N82" s="20" t="str">
        <f>HYPERLINK("http://slimages.macys.com/is/image/MCY/20549944 ")</f>
        <v xml:space="preserve">http://slimages.macys.com/is/image/MCY/20549944 </v>
      </c>
    </row>
    <row r="83" spans="1:14" x14ac:dyDescent="0.25">
      <c r="A83" s="19" t="s">
        <v>1774</v>
      </c>
      <c r="B83" s="13" t="s">
        <v>1775</v>
      </c>
      <c r="C83" s="8">
        <v>2</v>
      </c>
      <c r="D83" s="9">
        <v>19.989999999999998</v>
      </c>
      <c r="E83" s="9">
        <v>39.979999999999997</v>
      </c>
      <c r="F83" s="8">
        <v>100117215</v>
      </c>
      <c r="G83" s="13" t="s">
        <v>104</v>
      </c>
      <c r="H83" s="19" t="s">
        <v>40</v>
      </c>
      <c r="I83" s="13" t="s">
        <v>11</v>
      </c>
      <c r="J83" s="13" t="s">
        <v>427</v>
      </c>
      <c r="K83" s="13" t="s">
        <v>428</v>
      </c>
      <c r="L83" s="13"/>
      <c r="M83" s="13"/>
      <c r="N83" s="20" t="str">
        <f>HYPERLINK("http://slimages.macys.com/is/image/MCY/18995857 ")</f>
        <v xml:space="preserve">http://slimages.macys.com/is/image/MCY/18995857 </v>
      </c>
    </row>
    <row r="84" spans="1:14" x14ac:dyDescent="0.25">
      <c r="A84" s="19" t="s">
        <v>2956</v>
      </c>
      <c r="B84" s="13" t="s">
        <v>2957</v>
      </c>
      <c r="C84" s="8">
        <v>1</v>
      </c>
      <c r="D84" s="9">
        <v>40</v>
      </c>
      <c r="E84" s="9">
        <v>40</v>
      </c>
      <c r="F84" s="8">
        <v>100137477</v>
      </c>
      <c r="G84" s="13" t="s">
        <v>57</v>
      </c>
      <c r="H84" s="19" t="s">
        <v>27</v>
      </c>
      <c r="I84" s="13" t="s">
        <v>11</v>
      </c>
      <c r="J84" s="13" t="s">
        <v>427</v>
      </c>
      <c r="K84" s="13" t="s">
        <v>428</v>
      </c>
      <c r="L84" s="13"/>
      <c r="M84" s="13"/>
      <c r="N84" s="20" t="str">
        <f>HYPERLINK("http://slimages.macys.com/is/image/MCY/19877225 ")</f>
        <v xml:space="preserve">http://slimages.macys.com/is/image/MCY/19877225 </v>
      </c>
    </row>
    <row r="85" spans="1:14" x14ac:dyDescent="0.25">
      <c r="A85" s="19" t="s">
        <v>2934</v>
      </c>
      <c r="B85" s="13" t="s">
        <v>2935</v>
      </c>
      <c r="C85" s="8">
        <v>1</v>
      </c>
      <c r="D85" s="9">
        <v>34</v>
      </c>
      <c r="E85" s="9">
        <v>34</v>
      </c>
      <c r="F85" s="8" t="s">
        <v>1486</v>
      </c>
      <c r="G85" s="13" t="s">
        <v>62</v>
      </c>
      <c r="H85" s="19" t="s">
        <v>40</v>
      </c>
      <c r="I85" s="13" t="s">
        <v>11</v>
      </c>
      <c r="J85" s="13" t="s">
        <v>343</v>
      </c>
      <c r="K85" s="13" t="s">
        <v>366</v>
      </c>
      <c r="L85" s="13"/>
      <c r="M85" s="13"/>
      <c r="N85" s="20" t="str">
        <f>HYPERLINK("http://slimages.macys.com/is/image/MCY/19673104 ")</f>
        <v xml:space="preserve">http://slimages.macys.com/is/image/MCY/19673104 </v>
      </c>
    </row>
    <row r="86" spans="1:14" x14ac:dyDescent="0.25">
      <c r="A86" s="19" t="s">
        <v>2944</v>
      </c>
      <c r="B86" s="13" t="s">
        <v>2945</v>
      </c>
      <c r="C86" s="8">
        <v>1</v>
      </c>
      <c r="D86" s="9">
        <v>27.5</v>
      </c>
      <c r="E86" s="9">
        <v>27.5</v>
      </c>
      <c r="F86" s="8" t="s">
        <v>394</v>
      </c>
      <c r="G86" s="13" t="s">
        <v>62</v>
      </c>
      <c r="H86" s="19" t="s">
        <v>32</v>
      </c>
      <c r="I86" s="13" t="s">
        <v>11</v>
      </c>
      <c r="J86" s="13" t="s">
        <v>343</v>
      </c>
      <c r="K86" s="13" t="s">
        <v>366</v>
      </c>
      <c r="L86" s="13"/>
      <c r="M86" s="13"/>
      <c r="N86" s="20" t="str">
        <f>HYPERLINK("http://slimages.macys.com/is/image/MCY/19306234 ")</f>
        <v xml:space="preserve">http://slimages.macys.com/is/image/MCY/19306234 </v>
      </c>
    </row>
    <row r="87" spans="1:14" x14ac:dyDescent="0.25">
      <c r="A87" s="19" t="s">
        <v>2779</v>
      </c>
      <c r="B87" s="13" t="s">
        <v>2780</v>
      </c>
      <c r="C87" s="8">
        <v>4</v>
      </c>
      <c r="D87" s="9">
        <v>14.3</v>
      </c>
      <c r="E87" s="9">
        <v>57.2</v>
      </c>
      <c r="F87" s="8" t="s">
        <v>1340</v>
      </c>
      <c r="G87" s="13" t="s">
        <v>378</v>
      </c>
      <c r="H87" s="19" t="s">
        <v>32</v>
      </c>
      <c r="I87" s="13" t="s">
        <v>11</v>
      </c>
      <c r="J87" s="13" t="s">
        <v>343</v>
      </c>
      <c r="K87" s="13" t="s">
        <v>379</v>
      </c>
      <c r="L87" s="13"/>
      <c r="M87" s="13"/>
      <c r="N87" s="20" t="str">
        <f>HYPERLINK("http://slimages.macys.com/is/image/MCY/20120079 ")</f>
        <v xml:space="preserve">http://slimages.macys.com/is/image/MCY/20120079 </v>
      </c>
    </row>
    <row r="88" spans="1:14" x14ac:dyDescent="0.25">
      <c r="A88" s="19" t="s">
        <v>1566</v>
      </c>
      <c r="B88" s="13" t="s">
        <v>1567</v>
      </c>
      <c r="C88" s="8">
        <v>6</v>
      </c>
      <c r="D88" s="9">
        <v>14.3</v>
      </c>
      <c r="E88" s="9">
        <v>85.8</v>
      </c>
      <c r="F88" s="8" t="s">
        <v>1340</v>
      </c>
      <c r="G88" s="13" t="s">
        <v>378</v>
      </c>
      <c r="H88" s="19" t="s">
        <v>40</v>
      </c>
      <c r="I88" s="13" t="s">
        <v>11</v>
      </c>
      <c r="J88" s="13" t="s">
        <v>343</v>
      </c>
      <c r="K88" s="13" t="s">
        <v>379</v>
      </c>
      <c r="L88" s="13"/>
      <c r="M88" s="13"/>
      <c r="N88" s="20" t="str">
        <f>HYPERLINK("http://slimages.macys.com/is/image/MCY/20120079 ")</f>
        <v xml:space="preserve">http://slimages.macys.com/is/image/MCY/20120079 </v>
      </c>
    </row>
    <row r="89" spans="1:14" x14ac:dyDescent="0.25">
      <c r="A89" s="19" t="s">
        <v>1704</v>
      </c>
      <c r="B89" s="13" t="s">
        <v>2781</v>
      </c>
      <c r="C89" s="8">
        <v>2</v>
      </c>
      <c r="D89" s="9">
        <v>14.3</v>
      </c>
      <c r="E89" s="9">
        <v>28.6</v>
      </c>
      <c r="F89" s="8" t="s">
        <v>1340</v>
      </c>
      <c r="G89" s="13" t="s">
        <v>102</v>
      </c>
      <c r="H89" s="19" t="s">
        <v>40</v>
      </c>
      <c r="I89" s="13" t="s">
        <v>11</v>
      </c>
      <c r="J89" s="13" t="s">
        <v>343</v>
      </c>
      <c r="K89" s="13" t="s">
        <v>379</v>
      </c>
      <c r="L89" s="13"/>
      <c r="M89" s="13"/>
      <c r="N89" s="20" t="str">
        <f>HYPERLINK("http://slimages.macys.com/is/image/MCY/20120079 ")</f>
        <v xml:space="preserve">http://slimages.macys.com/is/image/MCY/20120079 </v>
      </c>
    </row>
    <row r="90" spans="1:14" x14ac:dyDescent="0.25">
      <c r="A90" s="19" t="s">
        <v>1338</v>
      </c>
      <c r="B90" s="13" t="s">
        <v>1339</v>
      </c>
      <c r="C90" s="8">
        <v>2</v>
      </c>
      <c r="D90" s="9">
        <v>14.3</v>
      </c>
      <c r="E90" s="9">
        <v>28.6</v>
      </c>
      <c r="F90" s="8" t="s">
        <v>1340</v>
      </c>
      <c r="G90" s="13" t="s">
        <v>102</v>
      </c>
      <c r="H90" s="19" t="s">
        <v>40</v>
      </c>
      <c r="I90" s="13" t="s">
        <v>11</v>
      </c>
      <c r="J90" s="13" t="s">
        <v>343</v>
      </c>
      <c r="K90" s="13" t="s">
        <v>379</v>
      </c>
      <c r="L90" s="13"/>
      <c r="M90" s="13"/>
      <c r="N90" s="20" t="str">
        <f>HYPERLINK("http://slimages.macys.com/is/image/MCY/20120079 ")</f>
        <v xml:space="preserve">http://slimages.macys.com/is/image/MCY/20120079 </v>
      </c>
    </row>
    <row r="91" spans="1:14" x14ac:dyDescent="0.25">
      <c r="A91" s="19" t="s">
        <v>2950</v>
      </c>
      <c r="B91" s="13" t="s">
        <v>2951</v>
      </c>
      <c r="C91" s="8">
        <v>1</v>
      </c>
      <c r="D91" s="9">
        <v>25</v>
      </c>
      <c r="E91" s="9">
        <v>25</v>
      </c>
      <c r="F91" s="8" t="s">
        <v>2952</v>
      </c>
      <c r="G91" s="13" t="s">
        <v>124</v>
      </c>
      <c r="H91" s="19" t="s">
        <v>55</v>
      </c>
      <c r="I91" s="13" t="s">
        <v>11</v>
      </c>
      <c r="J91" s="13" t="s">
        <v>343</v>
      </c>
      <c r="K91" s="13" t="s">
        <v>379</v>
      </c>
      <c r="L91" s="13"/>
      <c r="M91" s="13"/>
      <c r="N91" s="20" t="str">
        <f>HYPERLINK("http://slimages.macys.com/is/image/MCY/20184983 ")</f>
        <v xml:space="preserve">http://slimages.macys.com/is/image/MCY/20184983 </v>
      </c>
    </row>
    <row r="92" spans="1:14" x14ac:dyDescent="0.25">
      <c r="A92" s="19" t="s">
        <v>1049</v>
      </c>
      <c r="B92" s="13" t="s">
        <v>1050</v>
      </c>
      <c r="C92" s="8">
        <v>8</v>
      </c>
      <c r="D92" s="9">
        <v>14.3</v>
      </c>
      <c r="E92" s="9">
        <v>114.4</v>
      </c>
      <c r="F92" s="8" t="s">
        <v>1051</v>
      </c>
      <c r="G92" s="13" t="s">
        <v>31</v>
      </c>
      <c r="H92" s="19" t="s">
        <v>32</v>
      </c>
      <c r="I92" s="13" t="s">
        <v>11</v>
      </c>
      <c r="J92" s="13" t="s">
        <v>343</v>
      </c>
      <c r="K92" s="13" t="s">
        <v>379</v>
      </c>
      <c r="L92" s="13"/>
      <c r="M92" s="13"/>
      <c r="N92" s="20" t="str">
        <f t="shared" ref="N92:N108" si="1">HYPERLINK("http://slimages.macys.com/is/image/MCY/20120785 ")</f>
        <v xml:space="preserve">http://slimages.macys.com/is/image/MCY/20120785 </v>
      </c>
    </row>
    <row r="93" spans="1:14" x14ac:dyDescent="0.25">
      <c r="A93" s="19" t="s">
        <v>1337</v>
      </c>
      <c r="B93" s="13" t="s">
        <v>1055</v>
      </c>
      <c r="C93" s="8">
        <v>10</v>
      </c>
      <c r="D93" s="9">
        <v>14.3</v>
      </c>
      <c r="E93" s="9">
        <v>143</v>
      </c>
      <c r="F93" s="8" t="s">
        <v>1051</v>
      </c>
      <c r="G93" s="13" t="s">
        <v>31</v>
      </c>
      <c r="H93" s="19" t="s">
        <v>40</v>
      </c>
      <c r="I93" s="13" t="s">
        <v>11</v>
      </c>
      <c r="J93" s="13" t="s">
        <v>343</v>
      </c>
      <c r="K93" s="13" t="s">
        <v>379</v>
      </c>
      <c r="L93" s="13"/>
      <c r="M93" s="13"/>
      <c r="N93" s="20" t="str">
        <f t="shared" si="1"/>
        <v xml:space="preserve">http://slimages.macys.com/is/image/MCY/20120785 </v>
      </c>
    </row>
    <row r="94" spans="1:14" x14ac:dyDescent="0.25">
      <c r="A94" s="19" t="s">
        <v>1562</v>
      </c>
      <c r="B94" s="13" t="s">
        <v>1563</v>
      </c>
      <c r="C94" s="8">
        <v>11</v>
      </c>
      <c r="D94" s="9">
        <v>14.3</v>
      </c>
      <c r="E94" s="9">
        <v>157.30000000000001</v>
      </c>
      <c r="F94" s="8" t="s">
        <v>1051</v>
      </c>
      <c r="G94" s="13" t="s">
        <v>31</v>
      </c>
      <c r="H94" s="19" t="s">
        <v>55</v>
      </c>
      <c r="I94" s="13" t="s">
        <v>11</v>
      </c>
      <c r="J94" s="13" t="s">
        <v>343</v>
      </c>
      <c r="K94" s="13" t="s">
        <v>379</v>
      </c>
      <c r="L94" s="13"/>
      <c r="M94" s="13"/>
      <c r="N94" s="20" t="str">
        <f t="shared" si="1"/>
        <v xml:space="preserve">http://slimages.macys.com/is/image/MCY/20120785 </v>
      </c>
    </row>
    <row r="95" spans="1:14" x14ac:dyDescent="0.25">
      <c r="A95" s="19" t="s">
        <v>2651</v>
      </c>
      <c r="B95" s="13" t="s">
        <v>2652</v>
      </c>
      <c r="C95" s="8">
        <v>3</v>
      </c>
      <c r="D95" s="9">
        <v>14.3</v>
      </c>
      <c r="E95" s="9">
        <v>42.9</v>
      </c>
      <c r="F95" s="8" t="s">
        <v>1051</v>
      </c>
      <c r="G95" s="13" t="s">
        <v>31</v>
      </c>
      <c r="H95" s="19" t="s">
        <v>27</v>
      </c>
      <c r="I95" s="13" t="s">
        <v>11</v>
      </c>
      <c r="J95" s="13" t="s">
        <v>343</v>
      </c>
      <c r="K95" s="13" t="s">
        <v>379</v>
      </c>
      <c r="L95" s="13"/>
      <c r="M95" s="13"/>
      <c r="N95" s="20" t="str">
        <f t="shared" si="1"/>
        <v xml:space="preserve">http://slimages.macys.com/is/image/MCY/20120785 </v>
      </c>
    </row>
    <row r="96" spans="1:14" x14ac:dyDescent="0.25">
      <c r="A96" s="19" t="s">
        <v>1649</v>
      </c>
      <c r="B96" s="13" t="s">
        <v>1650</v>
      </c>
      <c r="C96" s="8">
        <v>58</v>
      </c>
      <c r="D96" s="9">
        <v>14.3</v>
      </c>
      <c r="E96" s="9">
        <v>829.4</v>
      </c>
      <c r="F96" s="8" t="s">
        <v>1051</v>
      </c>
      <c r="G96" s="13" t="s">
        <v>124</v>
      </c>
      <c r="H96" s="19" t="s">
        <v>32</v>
      </c>
      <c r="I96" s="13" t="s">
        <v>11</v>
      </c>
      <c r="J96" s="13" t="s">
        <v>343</v>
      </c>
      <c r="K96" s="13" t="s">
        <v>379</v>
      </c>
      <c r="L96" s="13"/>
      <c r="M96" s="13"/>
      <c r="N96" s="20" t="str">
        <f t="shared" si="1"/>
        <v xml:space="preserve">http://slimages.macys.com/is/image/MCY/20120785 </v>
      </c>
    </row>
    <row r="97" spans="1:14" x14ac:dyDescent="0.25">
      <c r="A97" s="19" t="s">
        <v>1335</v>
      </c>
      <c r="B97" s="13" t="s">
        <v>1336</v>
      </c>
      <c r="C97" s="8">
        <v>34</v>
      </c>
      <c r="D97" s="9">
        <v>14.3</v>
      </c>
      <c r="E97" s="9">
        <v>486.2</v>
      </c>
      <c r="F97" s="8" t="s">
        <v>1051</v>
      </c>
      <c r="G97" s="13" t="s">
        <v>124</v>
      </c>
      <c r="H97" s="19" t="s">
        <v>40</v>
      </c>
      <c r="I97" s="13" t="s">
        <v>11</v>
      </c>
      <c r="J97" s="13" t="s">
        <v>343</v>
      </c>
      <c r="K97" s="13" t="s">
        <v>379</v>
      </c>
      <c r="L97" s="13"/>
      <c r="M97" s="13"/>
      <c r="N97" s="20" t="str">
        <f t="shared" si="1"/>
        <v xml:space="preserve">http://slimages.macys.com/is/image/MCY/20120785 </v>
      </c>
    </row>
    <row r="98" spans="1:14" x14ac:dyDescent="0.25">
      <c r="A98" s="19" t="s">
        <v>1341</v>
      </c>
      <c r="B98" s="13" t="s">
        <v>1342</v>
      </c>
      <c r="C98" s="8">
        <v>14</v>
      </c>
      <c r="D98" s="9">
        <v>14.3</v>
      </c>
      <c r="E98" s="9">
        <v>200.2</v>
      </c>
      <c r="F98" s="8" t="s">
        <v>1051</v>
      </c>
      <c r="G98" s="13" t="s">
        <v>124</v>
      </c>
      <c r="H98" s="19" t="s">
        <v>55</v>
      </c>
      <c r="I98" s="13" t="s">
        <v>11</v>
      </c>
      <c r="J98" s="13" t="s">
        <v>343</v>
      </c>
      <c r="K98" s="13" t="s">
        <v>379</v>
      </c>
      <c r="L98" s="13"/>
      <c r="M98" s="13"/>
      <c r="N98" s="20" t="str">
        <f t="shared" si="1"/>
        <v xml:space="preserve">http://slimages.macys.com/is/image/MCY/20120785 </v>
      </c>
    </row>
    <row r="99" spans="1:14" x14ac:dyDescent="0.25">
      <c r="A99" s="19" t="s">
        <v>1343</v>
      </c>
      <c r="B99" s="13" t="s">
        <v>1344</v>
      </c>
      <c r="C99" s="8">
        <v>9</v>
      </c>
      <c r="D99" s="9">
        <v>14.3</v>
      </c>
      <c r="E99" s="9">
        <v>128.69999999999999</v>
      </c>
      <c r="F99" s="8" t="s">
        <v>1051</v>
      </c>
      <c r="G99" s="13" t="s">
        <v>124</v>
      </c>
      <c r="H99" s="19" t="s">
        <v>27</v>
      </c>
      <c r="I99" s="13" t="s">
        <v>11</v>
      </c>
      <c r="J99" s="13" t="s">
        <v>343</v>
      </c>
      <c r="K99" s="13" t="s">
        <v>379</v>
      </c>
      <c r="L99" s="13"/>
      <c r="M99" s="13"/>
      <c r="N99" s="20" t="str">
        <f t="shared" si="1"/>
        <v xml:space="preserve">http://slimages.macys.com/is/image/MCY/20120785 </v>
      </c>
    </row>
    <row r="100" spans="1:14" x14ac:dyDescent="0.25">
      <c r="A100" s="19" t="s">
        <v>1635</v>
      </c>
      <c r="B100" s="13" t="s">
        <v>1636</v>
      </c>
      <c r="C100" s="8">
        <v>4</v>
      </c>
      <c r="D100" s="9">
        <v>14.3</v>
      </c>
      <c r="E100" s="9">
        <v>57.2</v>
      </c>
      <c r="F100" s="8" t="s">
        <v>1051</v>
      </c>
      <c r="G100" s="13" t="s">
        <v>82</v>
      </c>
      <c r="H100" s="19" t="s">
        <v>32</v>
      </c>
      <c r="I100" s="13" t="s">
        <v>11</v>
      </c>
      <c r="J100" s="13" t="s">
        <v>343</v>
      </c>
      <c r="K100" s="13" t="s">
        <v>379</v>
      </c>
      <c r="L100" s="13"/>
      <c r="M100" s="13"/>
      <c r="N100" s="20" t="str">
        <f t="shared" si="1"/>
        <v xml:space="preserve">http://slimages.macys.com/is/image/MCY/20120785 </v>
      </c>
    </row>
    <row r="101" spans="1:14" x14ac:dyDescent="0.25">
      <c r="A101" s="19" t="s">
        <v>1347</v>
      </c>
      <c r="B101" s="13" t="s">
        <v>1348</v>
      </c>
      <c r="C101" s="8">
        <v>3</v>
      </c>
      <c r="D101" s="9">
        <v>14.3</v>
      </c>
      <c r="E101" s="9">
        <v>42.9</v>
      </c>
      <c r="F101" s="8" t="s">
        <v>1051</v>
      </c>
      <c r="G101" s="13" t="s">
        <v>82</v>
      </c>
      <c r="H101" s="19" t="s">
        <v>40</v>
      </c>
      <c r="I101" s="13" t="s">
        <v>11</v>
      </c>
      <c r="J101" s="13" t="s">
        <v>343</v>
      </c>
      <c r="K101" s="13" t="s">
        <v>379</v>
      </c>
      <c r="L101" s="13"/>
      <c r="M101" s="13"/>
      <c r="N101" s="20" t="str">
        <f t="shared" si="1"/>
        <v xml:space="preserve">http://slimages.macys.com/is/image/MCY/20120785 </v>
      </c>
    </row>
    <row r="102" spans="1:14" x14ac:dyDescent="0.25">
      <c r="A102" s="19" t="s">
        <v>1639</v>
      </c>
      <c r="B102" s="13" t="s">
        <v>1640</v>
      </c>
      <c r="C102" s="8">
        <v>1</v>
      </c>
      <c r="D102" s="9">
        <v>14.3</v>
      </c>
      <c r="E102" s="9">
        <v>14.3</v>
      </c>
      <c r="F102" s="8" t="s">
        <v>1051</v>
      </c>
      <c r="G102" s="13" t="s">
        <v>82</v>
      </c>
      <c r="H102" s="19" t="s">
        <v>55</v>
      </c>
      <c r="I102" s="13" t="s">
        <v>11</v>
      </c>
      <c r="J102" s="13" t="s">
        <v>343</v>
      </c>
      <c r="K102" s="13" t="s">
        <v>379</v>
      </c>
      <c r="L102" s="13"/>
      <c r="M102" s="13"/>
      <c r="N102" s="20" t="str">
        <f t="shared" si="1"/>
        <v xml:space="preserve">http://slimages.macys.com/is/image/MCY/20120785 </v>
      </c>
    </row>
    <row r="103" spans="1:14" x14ac:dyDescent="0.25">
      <c r="A103" s="19" t="s">
        <v>1560</v>
      </c>
      <c r="B103" s="13" t="s">
        <v>1561</v>
      </c>
      <c r="C103" s="8">
        <v>1</v>
      </c>
      <c r="D103" s="9">
        <v>14.3</v>
      </c>
      <c r="E103" s="9">
        <v>14.3</v>
      </c>
      <c r="F103" s="8" t="s">
        <v>1051</v>
      </c>
      <c r="G103" s="13" t="s">
        <v>82</v>
      </c>
      <c r="H103" s="19" t="s">
        <v>27</v>
      </c>
      <c r="I103" s="13" t="s">
        <v>11</v>
      </c>
      <c r="J103" s="13" t="s">
        <v>343</v>
      </c>
      <c r="K103" s="13" t="s">
        <v>379</v>
      </c>
      <c r="L103" s="13"/>
      <c r="M103" s="13"/>
      <c r="N103" s="20" t="str">
        <f t="shared" si="1"/>
        <v xml:space="preserve">http://slimages.macys.com/is/image/MCY/20120785 </v>
      </c>
    </row>
    <row r="104" spans="1:14" x14ac:dyDescent="0.25">
      <c r="A104" s="19" t="s">
        <v>1333</v>
      </c>
      <c r="B104" s="13" t="s">
        <v>1334</v>
      </c>
      <c r="C104" s="8">
        <v>6</v>
      </c>
      <c r="D104" s="9">
        <v>14.3</v>
      </c>
      <c r="E104" s="9">
        <v>85.8</v>
      </c>
      <c r="F104" s="8" t="s">
        <v>1056</v>
      </c>
      <c r="G104" s="13" t="s">
        <v>31</v>
      </c>
      <c r="H104" s="19" t="s">
        <v>40</v>
      </c>
      <c r="I104" s="13" t="s">
        <v>11</v>
      </c>
      <c r="J104" s="13" t="s">
        <v>343</v>
      </c>
      <c r="K104" s="13" t="s">
        <v>379</v>
      </c>
      <c r="L104" s="13"/>
      <c r="M104" s="13"/>
      <c r="N104" s="20" t="str">
        <f t="shared" si="1"/>
        <v xml:space="preserve">http://slimages.macys.com/is/image/MCY/20120785 </v>
      </c>
    </row>
    <row r="105" spans="1:14" x14ac:dyDescent="0.25">
      <c r="A105" s="19" t="s">
        <v>1641</v>
      </c>
      <c r="B105" s="13" t="s">
        <v>1642</v>
      </c>
      <c r="C105" s="8">
        <v>1</v>
      </c>
      <c r="D105" s="9">
        <v>14.3</v>
      </c>
      <c r="E105" s="9">
        <v>14.3</v>
      </c>
      <c r="F105" s="8" t="s">
        <v>1056</v>
      </c>
      <c r="G105" s="13" t="s">
        <v>31</v>
      </c>
      <c r="H105" s="19" t="s">
        <v>55</v>
      </c>
      <c r="I105" s="13" t="s">
        <v>11</v>
      </c>
      <c r="J105" s="13" t="s">
        <v>343</v>
      </c>
      <c r="K105" s="13" t="s">
        <v>379</v>
      </c>
      <c r="L105" s="13"/>
      <c r="M105" s="13"/>
      <c r="N105" s="20" t="str">
        <f t="shared" si="1"/>
        <v xml:space="preserve">http://slimages.macys.com/is/image/MCY/20120785 </v>
      </c>
    </row>
    <row r="106" spans="1:14" x14ac:dyDescent="0.25">
      <c r="A106" s="19" t="s">
        <v>1052</v>
      </c>
      <c r="B106" s="13" t="s">
        <v>1053</v>
      </c>
      <c r="C106" s="8">
        <v>10</v>
      </c>
      <c r="D106" s="9">
        <v>14.3</v>
      </c>
      <c r="E106" s="9">
        <v>143</v>
      </c>
      <c r="F106" s="8" t="s">
        <v>1051</v>
      </c>
      <c r="G106" s="13" t="s">
        <v>62</v>
      </c>
      <c r="H106" s="19" t="s">
        <v>32</v>
      </c>
      <c r="I106" s="13" t="s">
        <v>11</v>
      </c>
      <c r="J106" s="13" t="s">
        <v>343</v>
      </c>
      <c r="K106" s="13" t="s">
        <v>379</v>
      </c>
      <c r="L106" s="13"/>
      <c r="M106" s="13"/>
      <c r="N106" s="20" t="str">
        <f t="shared" si="1"/>
        <v xml:space="preserve">http://slimages.macys.com/is/image/MCY/20120785 </v>
      </c>
    </row>
    <row r="107" spans="1:14" x14ac:dyDescent="0.25">
      <c r="A107" s="19" t="s">
        <v>1331</v>
      </c>
      <c r="B107" s="13" t="s">
        <v>1332</v>
      </c>
      <c r="C107" s="8">
        <v>2</v>
      </c>
      <c r="D107" s="9">
        <v>14.3</v>
      </c>
      <c r="E107" s="9">
        <v>28.6</v>
      </c>
      <c r="F107" s="8" t="s">
        <v>1051</v>
      </c>
      <c r="G107" s="13" t="s">
        <v>62</v>
      </c>
      <c r="H107" s="19" t="s">
        <v>40</v>
      </c>
      <c r="I107" s="13" t="s">
        <v>11</v>
      </c>
      <c r="J107" s="13" t="s">
        <v>343</v>
      </c>
      <c r="K107" s="13" t="s">
        <v>379</v>
      </c>
      <c r="L107" s="13"/>
      <c r="M107" s="13"/>
      <c r="N107" s="20" t="str">
        <f t="shared" si="1"/>
        <v xml:space="preserve">http://slimages.macys.com/is/image/MCY/20120785 </v>
      </c>
    </row>
    <row r="108" spans="1:14" x14ac:dyDescent="0.25">
      <c r="A108" s="19" t="s">
        <v>1552</v>
      </c>
      <c r="B108" s="13" t="s">
        <v>1553</v>
      </c>
      <c r="C108" s="8">
        <v>11</v>
      </c>
      <c r="D108" s="9">
        <v>14.3</v>
      </c>
      <c r="E108" s="9">
        <v>157.30000000000001</v>
      </c>
      <c r="F108" s="8" t="s">
        <v>1051</v>
      </c>
      <c r="G108" s="13" t="s">
        <v>62</v>
      </c>
      <c r="H108" s="19" t="s">
        <v>55</v>
      </c>
      <c r="I108" s="13" t="s">
        <v>11</v>
      </c>
      <c r="J108" s="13" t="s">
        <v>343</v>
      </c>
      <c r="K108" s="13" t="s">
        <v>379</v>
      </c>
      <c r="L108" s="13"/>
      <c r="M108" s="13"/>
      <c r="N108" s="20" t="str">
        <f t="shared" si="1"/>
        <v xml:space="preserve">http://slimages.macys.com/is/image/MCY/20120785 </v>
      </c>
    </row>
    <row r="109" spans="1:14" x14ac:dyDescent="0.25">
      <c r="A109" s="19" t="s">
        <v>2923</v>
      </c>
      <c r="B109" s="13" t="s">
        <v>2924</v>
      </c>
      <c r="C109" s="8">
        <v>1</v>
      </c>
      <c r="D109" s="9">
        <v>14.99</v>
      </c>
      <c r="E109" s="9">
        <v>14.99</v>
      </c>
      <c r="F109" s="8" t="s">
        <v>758</v>
      </c>
      <c r="G109" s="13" t="s">
        <v>86</v>
      </c>
      <c r="H109" s="19" t="s">
        <v>55</v>
      </c>
      <c r="I109" s="13" t="s">
        <v>11</v>
      </c>
      <c r="J109" s="13" t="s">
        <v>266</v>
      </c>
      <c r="K109" s="13" t="s">
        <v>267</v>
      </c>
      <c r="L109" s="13"/>
      <c r="M109" s="13"/>
      <c r="N109" s="20" t="str">
        <f>HYPERLINK("http://slimages.macys.com/is/image/MCY/19287189 ")</f>
        <v xml:space="preserve">http://slimages.macys.com/is/image/MCY/19287189 </v>
      </c>
    </row>
    <row r="110" spans="1:14" x14ac:dyDescent="0.25">
      <c r="A110" s="19" t="s">
        <v>2911</v>
      </c>
      <c r="B110" s="13" t="s">
        <v>2912</v>
      </c>
      <c r="C110" s="8">
        <v>1</v>
      </c>
      <c r="D110" s="9">
        <v>27.99</v>
      </c>
      <c r="E110" s="9">
        <v>27.99</v>
      </c>
      <c r="F110" s="8" t="s">
        <v>2910</v>
      </c>
      <c r="G110" s="13" t="s">
        <v>270</v>
      </c>
      <c r="H110" s="19" t="s">
        <v>32</v>
      </c>
      <c r="I110" s="13" t="s">
        <v>11</v>
      </c>
      <c r="J110" s="13" t="s">
        <v>266</v>
      </c>
      <c r="K110" s="13" t="s">
        <v>267</v>
      </c>
      <c r="L110" s="13"/>
      <c r="M110" s="13"/>
      <c r="N110" s="20" t="str">
        <f>HYPERLINK("http://slimages.macys.com/is/image/MCY/18992310 ")</f>
        <v xml:space="preserve">http://slimages.macys.com/is/image/MCY/18992310 </v>
      </c>
    </row>
    <row r="111" spans="1:14" x14ac:dyDescent="0.25">
      <c r="A111" s="19" t="s">
        <v>2908</v>
      </c>
      <c r="B111" s="13" t="s">
        <v>2909</v>
      </c>
      <c r="C111" s="8">
        <v>1</v>
      </c>
      <c r="D111" s="9">
        <v>27.99</v>
      </c>
      <c r="E111" s="9">
        <v>27.99</v>
      </c>
      <c r="F111" s="8" t="s">
        <v>2910</v>
      </c>
      <c r="G111" s="13" t="s">
        <v>270</v>
      </c>
      <c r="H111" s="19" t="s">
        <v>27</v>
      </c>
      <c r="I111" s="13" t="s">
        <v>11</v>
      </c>
      <c r="J111" s="13" t="s">
        <v>266</v>
      </c>
      <c r="K111" s="13" t="s">
        <v>267</v>
      </c>
      <c r="L111" s="13"/>
      <c r="M111" s="13"/>
      <c r="N111" s="20" t="str">
        <f>HYPERLINK("http://slimages.macys.com/is/image/MCY/18992310 ")</f>
        <v xml:space="preserve">http://slimages.macys.com/is/image/MCY/18992310 </v>
      </c>
    </row>
    <row r="112" spans="1:14" x14ac:dyDescent="0.25">
      <c r="A112" s="19" t="s">
        <v>2900</v>
      </c>
      <c r="B112" s="13" t="s">
        <v>2901</v>
      </c>
      <c r="C112" s="8">
        <v>1</v>
      </c>
      <c r="D112" s="9">
        <v>27.99</v>
      </c>
      <c r="E112" s="9">
        <v>27.99</v>
      </c>
      <c r="F112" s="8" t="s">
        <v>1006</v>
      </c>
      <c r="G112" s="13" t="s">
        <v>78</v>
      </c>
      <c r="H112" s="19" t="s">
        <v>27</v>
      </c>
      <c r="I112" s="13" t="s">
        <v>11</v>
      </c>
      <c r="J112" s="13" t="s">
        <v>266</v>
      </c>
      <c r="K112" s="13" t="s">
        <v>267</v>
      </c>
      <c r="L112" s="13"/>
      <c r="M112" s="13"/>
      <c r="N112" s="20" t="str">
        <f>HYPERLINK("http://slimages.macys.com/is/image/MCY/18992311 ")</f>
        <v xml:space="preserve">http://slimages.macys.com/is/image/MCY/18992311 </v>
      </c>
    </row>
    <row r="113" spans="1:14" x14ac:dyDescent="0.25">
      <c r="A113" s="19" t="s">
        <v>1091</v>
      </c>
      <c r="B113" s="13" t="s">
        <v>1092</v>
      </c>
      <c r="C113" s="8">
        <v>1</v>
      </c>
      <c r="D113" s="9">
        <v>5.6</v>
      </c>
      <c r="E113" s="9">
        <v>5.6</v>
      </c>
      <c r="F113" s="8">
        <v>100131482</v>
      </c>
      <c r="G113" s="13" t="s">
        <v>78</v>
      </c>
      <c r="H113" s="19"/>
      <c r="I113" s="13" t="s">
        <v>11</v>
      </c>
      <c r="J113" s="13" t="s">
        <v>457</v>
      </c>
      <c r="K113" s="13" t="s">
        <v>459</v>
      </c>
      <c r="L113" s="13"/>
      <c r="M113" s="13"/>
      <c r="N113" s="20" t="str">
        <f>HYPERLINK("http://slimages.macys.com/is/image/MCY/19787468 ")</f>
        <v xml:space="preserve">http://slimages.macys.com/is/image/MCY/19787468 </v>
      </c>
    </row>
    <row r="114" spans="1:14" x14ac:dyDescent="0.25">
      <c r="A114" s="19" t="s">
        <v>1446</v>
      </c>
      <c r="B114" s="13" t="s">
        <v>1447</v>
      </c>
      <c r="C114" s="8">
        <v>6</v>
      </c>
      <c r="D114" s="9">
        <v>32.99</v>
      </c>
      <c r="E114" s="9">
        <v>197.94</v>
      </c>
      <c r="F114" s="8" t="s">
        <v>1448</v>
      </c>
      <c r="G114" s="13" t="s">
        <v>174</v>
      </c>
      <c r="H114" s="19" t="s">
        <v>55</v>
      </c>
      <c r="I114" s="13" t="s">
        <v>11</v>
      </c>
      <c r="J114" s="13" t="s">
        <v>266</v>
      </c>
      <c r="K114" s="13" t="s">
        <v>267</v>
      </c>
      <c r="L114" s="13"/>
      <c r="M114" s="13"/>
      <c r="N114" s="20" t="str">
        <f>HYPERLINK("http://slimages.macys.com/is/image/MCY/19287187 ")</f>
        <v xml:space="preserve">http://slimages.macys.com/is/image/MCY/19287187 </v>
      </c>
    </row>
    <row r="115" spans="1:14" x14ac:dyDescent="0.25">
      <c r="A115" s="19" t="s">
        <v>2898</v>
      </c>
      <c r="B115" s="13" t="s">
        <v>2899</v>
      </c>
      <c r="C115" s="8">
        <v>1</v>
      </c>
      <c r="D115" s="9">
        <v>27.99</v>
      </c>
      <c r="E115" s="9">
        <v>27.99</v>
      </c>
      <c r="F115" s="8" t="s">
        <v>1001</v>
      </c>
      <c r="G115" s="13" t="s">
        <v>104</v>
      </c>
      <c r="H115" s="19" t="s">
        <v>55</v>
      </c>
      <c r="I115" s="13" t="s">
        <v>11</v>
      </c>
      <c r="J115" s="13" t="s">
        <v>266</v>
      </c>
      <c r="K115" s="13" t="s">
        <v>267</v>
      </c>
      <c r="L115" s="13"/>
      <c r="M115" s="13"/>
      <c r="N115" s="20" t="str">
        <f>HYPERLINK("http://slimages.macys.com/is/image/MCY/20128837 ")</f>
        <v xml:space="preserve">http://slimages.macys.com/is/image/MCY/20128837 </v>
      </c>
    </row>
    <row r="116" spans="1:14" x14ac:dyDescent="0.25">
      <c r="A116" s="19" t="s">
        <v>294</v>
      </c>
      <c r="B116" s="13" t="s">
        <v>295</v>
      </c>
      <c r="C116" s="8">
        <v>1</v>
      </c>
      <c r="D116" s="9">
        <v>27.99</v>
      </c>
      <c r="E116" s="9">
        <v>27.99</v>
      </c>
      <c r="F116" s="8" t="s">
        <v>293</v>
      </c>
      <c r="G116" s="13" t="s">
        <v>86</v>
      </c>
      <c r="H116" s="19" t="s">
        <v>87</v>
      </c>
      <c r="I116" s="13" t="s">
        <v>11</v>
      </c>
      <c r="J116" s="13" t="s">
        <v>266</v>
      </c>
      <c r="K116" s="13" t="s">
        <v>267</v>
      </c>
      <c r="L116" s="13"/>
      <c r="M116" s="13"/>
      <c r="N116" s="20" t="str">
        <f>HYPERLINK("http://slimages.macys.com/is/image/MCY/19287253 ")</f>
        <v xml:space="preserve">http://slimages.macys.com/is/image/MCY/19287253 </v>
      </c>
    </row>
    <row r="117" spans="1:14" x14ac:dyDescent="0.25">
      <c r="A117" s="19" t="s">
        <v>2913</v>
      </c>
      <c r="B117" s="13" t="s">
        <v>2914</v>
      </c>
      <c r="C117" s="8">
        <v>1</v>
      </c>
      <c r="D117" s="9">
        <v>27.99</v>
      </c>
      <c r="E117" s="9">
        <v>27.99</v>
      </c>
      <c r="F117" s="8" t="s">
        <v>2411</v>
      </c>
      <c r="G117" s="13" t="s">
        <v>205</v>
      </c>
      <c r="H117" s="19" t="s">
        <v>27</v>
      </c>
      <c r="I117" s="13" t="s">
        <v>11</v>
      </c>
      <c r="J117" s="13" t="s">
        <v>266</v>
      </c>
      <c r="K117" s="13" t="s">
        <v>267</v>
      </c>
      <c r="L117" s="13"/>
      <c r="M117" s="13"/>
      <c r="N117" s="20" t="str">
        <f>HYPERLINK("http://slimages.macys.com/is/image/MCY/18532426 ")</f>
        <v xml:space="preserve">http://slimages.macys.com/is/image/MCY/18532426 </v>
      </c>
    </row>
    <row r="118" spans="1:14" x14ac:dyDescent="0.25">
      <c r="A118" s="19" t="s">
        <v>2894</v>
      </c>
      <c r="B118" s="13" t="s">
        <v>2895</v>
      </c>
      <c r="C118" s="8">
        <v>1</v>
      </c>
      <c r="D118" s="9">
        <v>49.99</v>
      </c>
      <c r="E118" s="9">
        <v>49.99</v>
      </c>
      <c r="F118" s="8" t="s">
        <v>271</v>
      </c>
      <c r="G118" s="13" t="s">
        <v>86</v>
      </c>
      <c r="H118" s="19" t="s">
        <v>40</v>
      </c>
      <c r="I118" s="13" t="s">
        <v>11</v>
      </c>
      <c r="J118" s="13" t="s">
        <v>266</v>
      </c>
      <c r="K118" s="13" t="s">
        <v>267</v>
      </c>
      <c r="L118" s="13"/>
      <c r="M118" s="13"/>
      <c r="N118" s="20" t="str">
        <f>HYPERLINK("http://slimages.macys.com/is/image/MCY/20492208 ")</f>
        <v xml:space="preserve">http://slimages.macys.com/is/image/MCY/20492208 </v>
      </c>
    </row>
    <row r="119" spans="1:14" x14ac:dyDescent="0.25">
      <c r="A119" s="19" t="s">
        <v>2902</v>
      </c>
      <c r="B119" s="13" t="s">
        <v>2903</v>
      </c>
      <c r="C119" s="8">
        <v>1</v>
      </c>
      <c r="D119" s="9">
        <v>29.99</v>
      </c>
      <c r="E119" s="9">
        <v>29.99</v>
      </c>
      <c r="F119" s="8" t="s">
        <v>290</v>
      </c>
      <c r="G119" s="13" t="s">
        <v>31</v>
      </c>
      <c r="H119" s="19" t="s">
        <v>87</v>
      </c>
      <c r="I119" s="13" t="s">
        <v>11</v>
      </c>
      <c r="J119" s="13" t="s">
        <v>266</v>
      </c>
      <c r="K119" s="13" t="s">
        <v>267</v>
      </c>
      <c r="L119" s="13"/>
      <c r="M119" s="13"/>
      <c r="N119" s="20" t="str">
        <f>HYPERLINK("http://slimages.macys.com/is/image/MCY/19712936 ")</f>
        <v xml:space="preserve">http://slimages.macys.com/is/image/MCY/19712936 </v>
      </c>
    </row>
    <row r="120" spans="1:14" x14ac:dyDescent="0.25">
      <c r="A120" s="19" t="s">
        <v>2904</v>
      </c>
      <c r="B120" s="13" t="s">
        <v>2905</v>
      </c>
      <c r="C120" s="8">
        <v>1</v>
      </c>
      <c r="D120" s="9">
        <v>29.99</v>
      </c>
      <c r="E120" s="9">
        <v>29.99</v>
      </c>
      <c r="F120" s="8" t="s">
        <v>2392</v>
      </c>
      <c r="G120" s="13" t="s">
        <v>37</v>
      </c>
      <c r="H120" s="19" t="s">
        <v>27</v>
      </c>
      <c r="I120" s="13" t="s">
        <v>11</v>
      </c>
      <c r="J120" s="13" t="s">
        <v>266</v>
      </c>
      <c r="K120" s="13" t="s">
        <v>267</v>
      </c>
      <c r="L120" s="13"/>
      <c r="M120" s="13"/>
      <c r="N120" s="20" t="str">
        <f>HYPERLINK("http://slimages.macys.com/is/image/MCY/19714794 ")</f>
        <v xml:space="preserve">http://slimages.macys.com/is/image/MCY/19714794 </v>
      </c>
    </row>
    <row r="121" spans="1:14" x14ac:dyDescent="0.25">
      <c r="A121" s="19" t="s">
        <v>2390</v>
      </c>
      <c r="B121" s="13" t="s">
        <v>2391</v>
      </c>
      <c r="C121" s="8">
        <v>2</v>
      </c>
      <c r="D121" s="9">
        <v>29.99</v>
      </c>
      <c r="E121" s="9">
        <v>59.98</v>
      </c>
      <c r="F121" s="8" t="s">
        <v>2392</v>
      </c>
      <c r="G121" s="13" t="s">
        <v>37</v>
      </c>
      <c r="H121" s="19" t="s">
        <v>47</v>
      </c>
      <c r="I121" s="13" t="s">
        <v>11</v>
      </c>
      <c r="J121" s="13" t="s">
        <v>266</v>
      </c>
      <c r="K121" s="13" t="s">
        <v>267</v>
      </c>
      <c r="L121" s="13"/>
      <c r="M121" s="13"/>
      <c r="N121" s="20" t="str">
        <f>HYPERLINK("http://slimages.macys.com/is/image/MCY/19714794 ")</f>
        <v xml:space="preserve">http://slimages.macys.com/is/image/MCY/19714794 </v>
      </c>
    </row>
    <row r="122" spans="1:14" x14ac:dyDescent="0.25">
      <c r="A122" s="19" t="s">
        <v>2906</v>
      </c>
      <c r="B122" s="13" t="s">
        <v>2907</v>
      </c>
      <c r="C122" s="8">
        <v>1</v>
      </c>
      <c r="D122" s="9">
        <v>29.99</v>
      </c>
      <c r="E122" s="9">
        <v>29.99</v>
      </c>
      <c r="F122" s="8" t="s">
        <v>2769</v>
      </c>
      <c r="G122" s="13" t="s">
        <v>31</v>
      </c>
      <c r="H122" s="19" t="s">
        <v>55</v>
      </c>
      <c r="I122" s="13" t="s">
        <v>11</v>
      </c>
      <c r="J122" s="13" t="s">
        <v>266</v>
      </c>
      <c r="K122" s="13" t="s">
        <v>267</v>
      </c>
      <c r="L122" s="13"/>
      <c r="M122" s="13"/>
      <c r="N122" s="20" t="str">
        <f>HYPERLINK("http://slimages.macys.com/is/image/MCY/19712936 ")</f>
        <v xml:space="preserve">http://slimages.macys.com/is/image/MCY/19712936 </v>
      </c>
    </row>
    <row r="123" spans="1:14" x14ac:dyDescent="0.25">
      <c r="A123" s="19" t="s">
        <v>1601</v>
      </c>
      <c r="B123" s="13" t="s">
        <v>1602</v>
      </c>
      <c r="C123" s="8">
        <v>6</v>
      </c>
      <c r="D123" s="9">
        <v>32.99</v>
      </c>
      <c r="E123" s="9">
        <v>197.94</v>
      </c>
      <c r="F123" s="8" t="s">
        <v>1600</v>
      </c>
      <c r="G123" s="13" t="s">
        <v>104</v>
      </c>
      <c r="H123" s="19" t="s">
        <v>55</v>
      </c>
      <c r="I123" s="13" t="s">
        <v>11</v>
      </c>
      <c r="J123" s="13" t="s">
        <v>266</v>
      </c>
      <c r="K123" s="13" t="s">
        <v>267</v>
      </c>
      <c r="L123" s="13"/>
      <c r="M123" s="13"/>
      <c r="N123" s="20" t="str">
        <f>HYPERLINK("http://slimages.macys.com/is/image/MCY/19287197 ")</f>
        <v xml:space="preserve">http://slimages.macys.com/is/image/MCY/19287197 </v>
      </c>
    </row>
    <row r="124" spans="1:14" x14ac:dyDescent="0.25">
      <c r="A124" s="19" t="s">
        <v>1229</v>
      </c>
      <c r="B124" s="13" t="s">
        <v>1230</v>
      </c>
      <c r="C124" s="8">
        <v>5</v>
      </c>
      <c r="D124" s="9">
        <v>32.99</v>
      </c>
      <c r="E124" s="9">
        <v>164.95</v>
      </c>
      <c r="F124" s="8" t="s">
        <v>1231</v>
      </c>
      <c r="G124" s="13" t="s">
        <v>270</v>
      </c>
      <c r="H124" s="19" t="s">
        <v>55</v>
      </c>
      <c r="I124" s="13" t="s">
        <v>11</v>
      </c>
      <c r="J124" s="13" t="s">
        <v>266</v>
      </c>
      <c r="K124" s="13" t="s">
        <v>267</v>
      </c>
      <c r="L124" s="13"/>
      <c r="M124" s="13"/>
      <c r="N124" s="20" t="str">
        <f>HYPERLINK("http://slimages.macys.com/is/image/MCY/19287197 ")</f>
        <v xml:space="preserve">http://slimages.macys.com/is/image/MCY/19287197 </v>
      </c>
    </row>
    <row r="125" spans="1:14" x14ac:dyDescent="0.25">
      <c r="A125" s="19" t="s">
        <v>2921</v>
      </c>
      <c r="B125" s="13" t="s">
        <v>2922</v>
      </c>
      <c r="C125" s="8">
        <v>1</v>
      </c>
      <c r="D125" s="9">
        <v>19.989999999999998</v>
      </c>
      <c r="E125" s="9">
        <v>19.989999999999998</v>
      </c>
      <c r="F125" s="8" t="s">
        <v>2446</v>
      </c>
      <c r="G125" s="13" t="s">
        <v>174</v>
      </c>
      <c r="H125" s="19" t="s">
        <v>158</v>
      </c>
      <c r="I125" s="13" t="s">
        <v>11</v>
      </c>
      <c r="J125" s="13" t="s">
        <v>266</v>
      </c>
      <c r="K125" s="13" t="s">
        <v>267</v>
      </c>
      <c r="L125" s="13"/>
      <c r="M125" s="13"/>
      <c r="N125" s="20" t="str">
        <f>HYPERLINK("http://slimages.macys.com/is/image/MCY/19662123 ")</f>
        <v xml:space="preserve">http://slimages.macys.com/is/image/MCY/19662123 </v>
      </c>
    </row>
    <row r="126" spans="1:14" x14ac:dyDescent="0.25">
      <c r="A126" s="19" t="s">
        <v>759</v>
      </c>
      <c r="B126" s="13" t="s">
        <v>760</v>
      </c>
      <c r="C126" s="8">
        <v>1</v>
      </c>
      <c r="D126" s="9">
        <v>17.989999999999998</v>
      </c>
      <c r="E126" s="9">
        <v>17.989999999999998</v>
      </c>
      <c r="F126" s="8" t="s">
        <v>339</v>
      </c>
      <c r="G126" s="13" t="s">
        <v>174</v>
      </c>
      <c r="H126" s="19" t="s">
        <v>55</v>
      </c>
      <c r="I126" s="13" t="s">
        <v>11</v>
      </c>
      <c r="J126" s="13" t="s">
        <v>266</v>
      </c>
      <c r="K126" s="13" t="s">
        <v>267</v>
      </c>
      <c r="L126" s="13"/>
      <c r="M126" s="13"/>
      <c r="N126" s="20" t="str">
        <f>HYPERLINK("http://slimages.macys.com/is/image/MCY/19797477 ")</f>
        <v xml:space="preserve">http://slimages.macys.com/is/image/MCY/19797477 </v>
      </c>
    </row>
    <row r="127" spans="1:14" x14ac:dyDescent="0.25">
      <c r="A127" s="19" t="s">
        <v>337</v>
      </c>
      <c r="B127" s="13" t="s">
        <v>338</v>
      </c>
      <c r="C127" s="8">
        <v>1</v>
      </c>
      <c r="D127" s="9">
        <v>17.989999999999998</v>
      </c>
      <c r="E127" s="9">
        <v>17.989999999999998</v>
      </c>
      <c r="F127" s="8" t="s">
        <v>339</v>
      </c>
      <c r="G127" s="13" t="s">
        <v>174</v>
      </c>
      <c r="H127" s="19" t="s">
        <v>47</v>
      </c>
      <c r="I127" s="13" t="s">
        <v>11</v>
      </c>
      <c r="J127" s="13" t="s">
        <v>266</v>
      </c>
      <c r="K127" s="13" t="s">
        <v>267</v>
      </c>
      <c r="L127" s="13"/>
      <c r="M127" s="13"/>
      <c r="N127" s="20" t="str">
        <f>HYPERLINK("http://slimages.macys.com/is/image/MCY/19797477 ")</f>
        <v xml:space="preserve">http://slimages.macys.com/is/image/MCY/19797477 </v>
      </c>
    </row>
    <row r="128" spans="1:14" x14ac:dyDescent="0.25">
      <c r="A128" s="19" t="s">
        <v>2896</v>
      </c>
      <c r="B128" s="13" t="s">
        <v>2897</v>
      </c>
      <c r="C128" s="8">
        <v>2</v>
      </c>
      <c r="D128" s="9">
        <v>40.99</v>
      </c>
      <c r="E128" s="9">
        <v>81.98</v>
      </c>
      <c r="F128" s="8" t="s">
        <v>2359</v>
      </c>
      <c r="G128" s="13" t="s">
        <v>78</v>
      </c>
      <c r="H128" s="19" t="s">
        <v>40</v>
      </c>
      <c r="I128" s="13" t="s">
        <v>11</v>
      </c>
      <c r="J128" s="13" t="s">
        <v>266</v>
      </c>
      <c r="K128" s="13" t="s">
        <v>267</v>
      </c>
      <c r="L128" s="13"/>
      <c r="M128" s="13"/>
      <c r="N128" s="20" t="str">
        <f>HYPERLINK("http://slimages.macys.com/is/image/MCY/20226828 ")</f>
        <v xml:space="preserve">http://slimages.macys.com/is/image/MCY/20226828 </v>
      </c>
    </row>
    <row r="129" spans="1:14" x14ac:dyDescent="0.25">
      <c r="A129" s="19" t="s">
        <v>2925</v>
      </c>
      <c r="B129" s="13" t="s">
        <v>2926</v>
      </c>
      <c r="C129" s="8">
        <v>1</v>
      </c>
      <c r="D129" s="9">
        <v>15.99</v>
      </c>
      <c r="E129" s="9">
        <v>15.99</v>
      </c>
      <c r="F129" s="8">
        <v>100096798</v>
      </c>
      <c r="G129" s="13" t="s">
        <v>102</v>
      </c>
      <c r="H129" s="19" t="s">
        <v>47</v>
      </c>
      <c r="I129" s="13" t="s">
        <v>11</v>
      </c>
      <c r="J129" s="13" t="s">
        <v>266</v>
      </c>
      <c r="K129" s="13" t="s">
        <v>267</v>
      </c>
      <c r="L129" s="13"/>
      <c r="M129" s="13"/>
      <c r="N129" s="20" t="str">
        <f>HYPERLINK("http://slimages.macys.com/is/image/MCY/18612205 ")</f>
        <v xml:space="preserve">http://slimages.macys.com/is/image/MCY/18612205 </v>
      </c>
    </row>
    <row r="130" spans="1:14" x14ac:dyDescent="0.25">
      <c r="A130" s="19" t="s">
        <v>1812</v>
      </c>
      <c r="B130" s="13" t="s">
        <v>1813</v>
      </c>
      <c r="C130" s="8">
        <v>1</v>
      </c>
      <c r="D130" s="9">
        <v>16.989999999999998</v>
      </c>
      <c r="E130" s="9">
        <v>16.989999999999998</v>
      </c>
      <c r="F130" s="8" t="s">
        <v>328</v>
      </c>
      <c r="G130" s="13" t="s">
        <v>202</v>
      </c>
      <c r="H130" s="19" t="s">
        <v>87</v>
      </c>
      <c r="I130" s="13" t="s">
        <v>11</v>
      </c>
      <c r="J130" s="13" t="s">
        <v>266</v>
      </c>
      <c r="K130" s="13" t="s">
        <v>267</v>
      </c>
      <c r="L130" s="13"/>
      <c r="M130" s="13"/>
      <c r="N130" s="20" t="str">
        <f>HYPERLINK("http://slimages.macys.com/is/image/MCY/19638875 ")</f>
        <v xml:space="preserve">http://slimages.macys.com/is/image/MCY/19638875 </v>
      </c>
    </row>
    <row r="131" spans="1:14" x14ac:dyDescent="0.25">
      <c r="A131" s="19" t="s">
        <v>2915</v>
      </c>
      <c r="B131" s="13" t="s">
        <v>2916</v>
      </c>
      <c r="C131" s="8">
        <v>1</v>
      </c>
      <c r="D131" s="9">
        <v>14.99</v>
      </c>
      <c r="E131" s="9">
        <v>14.99</v>
      </c>
      <c r="F131" s="8" t="s">
        <v>307</v>
      </c>
      <c r="G131" s="13" t="s">
        <v>174</v>
      </c>
      <c r="H131" s="19" t="s">
        <v>55</v>
      </c>
      <c r="I131" s="13" t="s">
        <v>11</v>
      </c>
      <c r="J131" s="13" t="s">
        <v>266</v>
      </c>
      <c r="K131" s="13" t="s">
        <v>267</v>
      </c>
      <c r="L131" s="13"/>
      <c r="M131" s="13"/>
      <c r="N131" s="20" t="str">
        <f>HYPERLINK("http://slimages.macys.com/is/image/MCY/19885992 ")</f>
        <v xml:space="preserve">http://slimages.macys.com/is/image/MCY/19885992 </v>
      </c>
    </row>
    <row r="132" spans="1:14" x14ac:dyDescent="0.25">
      <c r="A132" s="19" t="s">
        <v>1017</v>
      </c>
      <c r="B132" s="13" t="s">
        <v>1018</v>
      </c>
      <c r="C132" s="8">
        <v>1</v>
      </c>
      <c r="D132" s="9">
        <v>14.99</v>
      </c>
      <c r="E132" s="9">
        <v>14.99</v>
      </c>
      <c r="F132" s="8" t="s">
        <v>307</v>
      </c>
      <c r="G132" s="13" t="s">
        <v>205</v>
      </c>
      <c r="H132" s="19" t="s">
        <v>40</v>
      </c>
      <c r="I132" s="13" t="s">
        <v>11</v>
      </c>
      <c r="J132" s="13" t="s">
        <v>266</v>
      </c>
      <c r="K132" s="13" t="s">
        <v>267</v>
      </c>
      <c r="L132" s="13"/>
      <c r="M132" s="13"/>
      <c r="N132" s="20" t="str">
        <f>HYPERLINK("http://slimages.macys.com/is/image/MCY/1041649 ")</f>
        <v xml:space="preserve">http://slimages.macys.com/is/image/MCY/1041649 </v>
      </c>
    </row>
    <row r="133" spans="1:14" x14ac:dyDescent="0.25">
      <c r="A133" s="19" t="s">
        <v>2917</v>
      </c>
      <c r="B133" s="13" t="s">
        <v>2918</v>
      </c>
      <c r="C133" s="8">
        <v>1</v>
      </c>
      <c r="D133" s="9">
        <v>14.99</v>
      </c>
      <c r="E133" s="9">
        <v>14.99</v>
      </c>
      <c r="F133" s="8" t="s">
        <v>307</v>
      </c>
      <c r="G133" s="13" t="s">
        <v>127</v>
      </c>
      <c r="H133" s="19" t="s">
        <v>40</v>
      </c>
      <c r="I133" s="13" t="s">
        <v>11</v>
      </c>
      <c r="J133" s="13" t="s">
        <v>266</v>
      </c>
      <c r="K133" s="13" t="s">
        <v>267</v>
      </c>
      <c r="L133" s="13"/>
      <c r="M133" s="13"/>
      <c r="N133" s="20" t="str">
        <f>HYPERLINK("http://slimages.macys.com/is/image/MCY/19885992 ")</f>
        <v xml:space="preserve">http://slimages.macys.com/is/image/MCY/19885992 </v>
      </c>
    </row>
    <row r="134" spans="1:14" x14ac:dyDescent="0.25">
      <c r="A134" s="19" t="s">
        <v>2919</v>
      </c>
      <c r="B134" s="13" t="s">
        <v>2920</v>
      </c>
      <c r="C134" s="8">
        <v>1</v>
      </c>
      <c r="D134" s="9">
        <v>24.99</v>
      </c>
      <c r="E134" s="9">
        <v>24.99</v>
      </c>
      <c r="F134" s="8" t="s">
        <v>316</v>
      </c>
      <c r="G134" s="13" t="s">
        <v>82</v>
      </c>
      <c r="H134" s="19" t="s">
        <v>55</v>
      </c>
      <c r="I134" s="13" t="s">
        <v>11</v>
      </c>
      <c r="J134" s="13" t="s">
        <v>266</v>
      </c>
      <c r="K134" s="13" t="s">
        <v>267</v>
      </c>
      <c r="L134" s="13"/>
      <c r="M134" s="13"/>
      <c r="N134" s="20" t="str">
        <f>HYPERLINK("http://slimages.macys.com/is/image/MCY/19545513 ")</f>
        <v xml:space="preserve">http://slimages.macys.com/is/image/MCY/19545513 </v>
      </c>
    </row>
    <row r="135" spans="1:14" x14ac:dyDescent="0.25">
      <c r="A135" s="19" t="s">
        <v>744</v>
      </c>
      <c r="B135" s="13" t="s">
        <v>745</v>
      </c>
      <c r="C135" s="8">
        <v>1</v>
      </c>
      <c r="D135" s="9">
        <v>17.989999999999998</v>
      </c>
      <c r="E135" s="9">
        <v>17.989999999999998</v>
      </c>
      <c r="F135" s="8" t="s">
        <v>312</v>
      </c>
      <c r="G135" s="13" t="s">
        <v>37</v>
      </c>
      <c r="H135" s="19" t="s">
        <v>47</v>
      </c>
      <c r="I135" s="13" t="s">
        <v>11</v>
      </c>
      <c r="J135" s="13" t="s">
        <v>266</v>
      </c>
      <c r="K135" s="13" t="s">
        <v>267</v>
      </c>
      <c r="L135" s="13"/>
      <c r="M135" s="13"/>
      <c r="N135" s="20" t="str">
        <f>HYPERLINK("http://slimages.macys.com/is/image/MCY/19278830 ")</f>
        <v xml:space="preserve">http://slimages.macys.com/is/image/MCY/19278830 </v>
      </c>
    </row>
    <row r="136" spans="1:14" x14ac:dyDescent="0.25">
      <c r="A136" s="19" t="s">
        <v>871</v>
      </c>
      <c r="B136" s="13" t="s">
        <v>872</v>
      </c>
      <c r="C136" s="8">
        <v>1</v>
      </c>
      <c r="D136" s="9">
        <v>5.6</v>
      </c>
      <c r="E136" s="9">
        <v>5.6</v>
      </c>
      <c r="F136" s="8">
        <v>100110139</v>
      </c>
      <c r="G136" s="13" t="s">
        <v>76</v>
      </c>
      <c r="H136" s="19"/>
      <c r="I136" s="13" t="s">
        <v>11</v>
      </c>
      <c r="J136" s="13" t="s">
        <v>457</v>
      </c>
      <c r="K136" s="13" t="s">
        <v>459</v>
      </c>
      <c r="L136" s="13"/>
      <c r="M136" s="13"/>
      <c r="N136" s="20" t="str">
        <f>HYPERLINK("http://slimages.macys.com/is/image/MCY/19787476 ")</f>
        <v xml:space="preserve">http://slimages.macys.com/is/image/MCY/19787476 </v>
      </c>
    </row>
    <row r="137" spans="1:14" x14ac:dyDescent="0.25">
      <c r="A137" s="19" t="s">
        <v>849</v>
      </c>
      <c r="B137" s="13" t="s">
        <v>850</v>
      </c>
      <c r="C137" s="8">
        <v>1</v>
      </c>
      <c r="D137" s="9">
        <v>5.6</v>
      </c>
      <c r="E137" s="9">
        <v>5.6</v>
      </c>
      <c r="F137" s="8">
        <v>100137426</v>
      </c>
      <c r="G137" s="13" t="s">
        <v>202</v>
      </c>
      <c r="H137" s="19" t="s">
        <v>87</v>
      </c>
      <c r="I137" s="13" t="s">
        <v>11</v>
      </c>
      <c r="J137" s="13" t="s">
        <v>457</v>
      </c>
      <c r="K137" s="13" t="s">
        <v>459</v>
      </c>
      <c r="L137" s="13"/>
      <c r="M137" s="13"/>
      <c r="N137" s="20" t="str">
        <f>HYPERLINK("http://slimages.macys.com/is/image/MCY/1040528 ")</f>
        <v xml:space="preserve">http://slimages.macys.com/is/image/MCY/1040528 </v>
      </c>
    </row>
    <row r="138" spans="1:14" x14ac:dyDescent="0.25">
      <c r="A138" s="19" t="s">
        <v>847</v>
      </c>
      <c r="B138" s="13" t="s">
        <v>848</v>
      </c>
      <c r="C138" s="8">
        <v>1</v>
      </c>
      <c r="D138" s="9">
        <v>5.6</v>
      </c>
      <c r="E138" s="9">
        <v>5.6</v>
      </c>
      <c r="F138" s="8">
        <v>100137426</v>
      </c>
      <c r="G138" s="13" t="s">
        <v>202</v>
      </c>
      <c r="H138" s="19"/>
      <c r="I138" s="13" t="s">
        <v>11</v>
      </c>
      <c r="J138" s="13" t="s">
        <v>457</v>
      </c>
      <c r="K138" s="13" t="s">
        <v>459</v>
      </c>
      <c r="L138" s="13"/>
      <c r="M138" s="13"/>
      <c r="N138" s="20" t="str">
        <f>HYPERLINK("http://slimages.macys.com/is/image/MCY/1040528 ")</f>
        <v xml:space="preserve">http://slimages.macys.com/is/image/MCY/1040528 </v>
      </c>
    </row>
    <row r="139" spans="1:14" x14ac:dyDescent="0.25">
      <c r="A139" s="19" t="s">
        <v>861</v>
      </c>
      <c r="B139" s="13" t="s">
        <v>862</v>
      </c>
      <c r="C139" s="8">
        <v>1</v>
      </c>
      <c r="D139" s="9">
        <v>5.6</v>
      </c>
      <c r="E139" s="9">
        <v>5.6</v>
      </c>
      <c r="F139" s="8">
        <v>100138182</v>
      </c>
      <c r="G139" s="13" t="s">
        <v>76</v>
      </c>
      <c r="H139" s="19" t="s">
        <v>87</v>
      </c>
      <c r="I139" s="13" t="s">
        <v>11</v>
      </c>
      <c r="J139" s="13" t="s">
        <v>457</v>
      </c>
      <c r="K139" s="13" t="s">
        <v>459</v>
      </c>
      <c r="L139" s="13"/>
      <c r="M139" s="13"/>
      <c r="N139" s="20" t="str">
        <f>HYPERLINK("http://slimages.macys.com/is/image/MCY/19787476 ")</f>
        <v xml:space="preserve">http://slimages.macys.com/is/image/MCY/19787476 </v>
      </c>
    </row>
    <row r="140" spans="1:14" x14ac:dyDescent="0.25">
      <c r="A140" s="19" t="s">
        <v>515</v>
      </c>
      <c r="B140" s="13" t="s">
        <v>516</v>
      </c>
      <c r="C140" s="8">
        <v>1</v>
      </c>
      <c r="D140" s="9">
        <v>5.6</v>
      </c>
      <c r="E140" s="9">
        <v>5.6</v>
      </c>
      <c r="F140" s="8">
        <v>100138182</v>
      </c>
      <c r="G140" s="13" t="s">
        <v>76</v>
      </c>
      <c r="H140" s="19"/>
      <c r="I140" s="13" t="s">
        <v>11</v>
      </c>
      <c r="J140" s="13" t="s">
        <v>457</v>
      </c>
      <c r="K140" s="13" t="s">
        <v>459</v>
      </c>
      <c r="L140" s="13"/>
      <c r="M140" s="13"/>
      <c r="N140" s="20" t="str">
        <f>HYPERLINK("http://slimages.macys.com/is/image/MCY/19787476 ")</f>
        <v xml:space="preserve">http://slimages.macys.com/is/image/MCY/19787476 </v>
      </c>
    </row>
    <row r="141" spans="1:14" x14ac:dyDescent="0.25">
      <c r="A141" s="19" t="s">
        <v>509</v>
      </c>
      <c r="B141" s="13" t="s">
        <v>510</v>
      </c>
      <c r="C141" s="8">
        <v>1</v>
      </c>
      <c r="D141" s="9">
        <v>5.6</v>
      </c>
      <c r="E141" s="9">
        <v>5.6</v>
      </c>
      <c r="F141" s="8">
        <v>100131487</v>
      </c>
      <c r="G141" s="13" t="s">
        <v>86</v>
      </c>
      <c r="H141" s="19"/>
      <c r="I141" s="13" t="s">
        <v>11</v>
      </c>
      <c r="J141" s="13" t="s">
        <v>457</v>
      </c>
      <c r="K141" s="13" t="s">
        <v>459</v>
      </c>
      <c r="L141" s="13"/>
      <c r="M141" s="13"/>
      <c r="N141" s="20" t="str">
        <f>HYPERLINK("http://slimages.macys.com/is/image/MCY/19918595 ")</f>
        <v xml:space="preserve">http://slimages.macys.com/is/image/MCY/19918595 </v>
      </c>
    </row>
    <row r="142" spans="1:14" x14ac:dyDescent="0.25">
      <c r="A142" s="19" t="s">
        <v>497</v>
      </c>
      <c r="B142" s="13" t="s">
        <v>498</v>
      </c>
      <c r="C142" s="8">
        <v>1</v>
      </c>
      <c r="D142" s="9">
        <v>5.6</v>
      </c>
      <c r="E142" s="9">
        <v>5.6</v>
      </c>
      <c r="F142" s="8">
        <v>100131488</v>
      </c>
      <c r="G142" s="13" t="s">
        <v>78</v>
      </c>
      <c r="H142" s="19"/>
      <c r="I142" s="13" t="s">
        <v>11</v>
      </c>
      <c r="J142" s="13" t="s">
        <v>457</v>
      </c>
      <c r="K142" s="13" t="s">
        <v>459</v>
      </c>
      <c r="L142" s="13"/>
      <c r="M142" s="13"/>
      <c r="N142" s="20" t="str">
        <f>HYPERLINK("http://slimages.macys.com/is/image/MCY/19278666 ")</f>
        <v xml:space="preserve">http://slimages.macys.com/is/image/MCY/19278666 </v>
      </c>
    </row>
    <row r="143" spans="1:14" x14ac:dyDescent="0.25">
      <c r="A143" s="19" t="s">
        <v>2962</v>
      </c>
      <c r="B143" s="13" t="s">
        <v>2963</v>
      </c>
      <c r="C143" s="8">
        <v>1</v>
      </c>
      <c r="D143" s="9">
        <v>5.6</v>
      </c>
      <c r="E143" s="9">
        <v>5.6</v>
      </c>
      <c r="F143" s="8">
        <v>100131486</v>
      </c>
      <c r="G143" s="13" t="s">
        <v>31</v>
      </c>
      <c r="H143" s="19" t="s">
        <v>55</v>
      </c>
      <c r="I143" s="13" t="s">
        <v>11</v>
      </c>
      <c r="J143" s="13" t="s">
        <v>457</v>
      </c>
      <c r="K143" s="13" t="s">
        <v>459</v>
      </c>
      <c r="L143" s="13"/>
      <c r="M143" s="13"/>
      <c r="N143" s="20" t="str">
        <f>HYPERLINK("http://slimages.macys.com/is/image/MCY/19918580 ")</f>
        <v xml:space="preserve">http://slimages.macys.com/is/image/MCY/19918580 </v>
      </c>
    </row>
    <row r="144" spans="1:14" x14ac:dyDescent="0.25">
      <c r="A144" s="19" t="s">
        <v>1820</v>
      </c>
      <c r="B144" s="13" t="s">
        <v>1821</v>
      </c>
      <c r="C144" s="8">
        <v>1</v>
      </c>
      <c r="D144" s="9">
        <v>26.6</v>
      </c>
      <c r="E144" s="9">
        <v>26.6</v>
      </c>
      <c r="F144" s="8">
        <v>16679</v>
      </c>
      <c r="G144" s="13" t="s">
        <v>201</v>
      </c>
      <c r="H144" s="19" t="s">
        <v>32</v>
      </c>
      <c r="I144" s="13" t="s">
        <v>11</v>
      </c>
      <c r="J144" s="13" t="s">
        <v>539</v>
      </c>
      <c r="K144" s="13" t="s">
        <v>889</v>
      </c>
      <c r="L144" s="13"/>
      <c r="M144" s="13"/>
      <c r="N144" s="20" t="str">
        <f>HYPERLINK("http://slimages.macys.com/is/image/MCY/19585181 ")</f>
        <v xml:space="preserve">http://slimages.macys.com/is/image/MCY/19585181 </v>
      </c>
    </row>
    <row r="145" spans="1:14" x14ac:dyDescent="0.25">
      <c r="A145" s="19" t="s">
        <v>1588</v>
      </c>
      <c r="B145" s="13" t="s">
        <v>1589</v>
      </c>
      <c r="C145" s="8">
        <v>2</v>
      </c>
      <c r="D145" s="9">
        <v>26.6</v>
      </c>
      <c r="E145" s="9">
        <v>53.2</v>
      </c>
      <c r="F145" s="8">
        <v>16678</v>
      </c>
      <c r="G145" s="13" t="s">
        <v>37</v>
      </c>
      <c r="H145" s="19" t="s">
        <v>27</v>
      </c>
      <c r="I145" s="13" t="s">
        <v>11</v>
      </c>
      <c r="J145" s="13" t="s">
        <v>539</v>
      </c>
      <c r="K145" s="13" t="s">
        <v>889</v>
      </c>
      <c r="L145" s="13"/>
      <c r="M145" s="13"/>
      <c r="N145" s="20" t="str">
        <f>HYPERLINK("http://slimages.macys.com/is/image/MCY/18653165 ")</f>
        <v xml:space="preserve">http://slimages.macys.com/is/image/MCY/18653165 </v>
      </c>
    </row>
    <row r="146" spans="1:14" x14ac:dyDescent="0.25">
      <c r="A146" s="19" t="s">
        <v>1713</v>
      </c>
      <c r="B146" s="13" t="s">
        <v>2978</v>
      </c>
      <c r="C146" s="8">
        <v>1</v>
      </c>
      <c r="D146" s="9">
        <v>23.8</v>
      </c>
      <c r="E146" s="9">
        <v>23.8</v>
      </c>
      <c r="F146" s="8">
        <v>16674</v>
      </c>
      <c r="G146" s="13" t="s">
        <v>83</v>
      </c>
      <c r="H146" s="19" t="s">
        <v>32</v>
      </c>
      <c r="I146" s="13" t="s">
        <v>11</v>
      </c>
      <c r="J146" s="13" t="s">
        <v>539</v>
      </c>
      <c r="K146" s="13" t="s">
        <v>889</v>
      </c>
      <c r="L146" s="13"/>
      <c r="M146" s="13"/>
      <c r="N146" s="20" t="str">
        <f>HYPERLINK("http://slimages.macys.com/is/image/MCY/18785585 ")</f>
        <v xml:space="preserve">http://slimages.macys.com/is/image/MCY/18785585 </v>
      </c>
    </row>
    <row r="147" spans="1:14" x14ac:dyDescent="0.25">
      <c r="A147" s="19" t="s">
        <v>2975</v>
      </c>
      <c r="B147" s="13" t="s">
        <v>2976</v>
      </c>
      <c r="C147" s="8">
        <v>1</v>
      </c>
      <c r="D147" s="9">
        <v>72</v>
      </c>
      <c r="E147" s="9">
        <v>72</v>
      </c>
      <c r="F147" s="8" t="s">
        <v>2977</v>
      </c>
      <c r="G147" s="13" t="s">
        <v>174</v>
      </c>
      <c r="H147" s="19" t="s">
        <v>32</v>
      </c>
      <c r="I147" s="13" t="s">
        <v>11</v>
      </c>
      <c r="J147" s="13" t="s">
        <v>539</v>
      </c>
      <c r="K147" s="13" t="s">
        <v>543</v>
      </c>
      <c r="L147" s="13"/>
      <c r="M147" s="13"/>
      <c r="N147" s="20" t="str">
        <f>HYPERLINK("http://slimages.macys.com/is/image/MCY/19563870 ")</f>
        <v xml:space="preserve">http://slimages.macys.com/is/image/MCY/19563870 </v>
      </c>
    </row>
    <row r="148" spans="1:14" x14ac:dyDescent="0.25">
      <c r="A148" s="19" t="s">
        <v>1113</v>
      </c>
      <c r="B148" s="13" t="s">
        <v>1114</v>
      </c>
      <c r="C148" s="8">
        <v>1</v>
      </c>
      <c r="D148" s="9">
        <v>75</v>
      </c>
      <c r="E148" s="9">
        <v>75</v>
      </c>
      <c r="F148" s="8">
        <v>12901</v>
      </c>
      <c r="G148" s="13" t="s">
        <v>31</v>
      </c>
      <c r="H148" s="19" t="s">
        <v>231</v>
      </c>
      <c r="I148" s="13" t="s">
        <v>11</v>
      </c>
      <c r="J148" s="13" t="s">
        <v>533</v>
      </c>
      <c r="K148" s="13" t="s">
        <v>534</v>
      </c>
      <c r="L148" s="13" t="s">
        <v>111</v>
      </c>
      <c r="M148" s="13" t="s">
        <v>216</v>
      </c>
      <c r="N148" s="20" t="str">
        <f>HYPERLINK("http://slimages.macys.com/is/image/MCY/8347666 ")</f>
        <v xml:space="preserve">http://slimages.macys.com/is/image/MCY/8347666 </v>
      </c>
    </row>
    <row r="149" spans="1:14" x14ac:dyDescent="0.25">
      <c r="A149" s="19" t="s">
        <v>1630</v>
      </c>
      <c r="B149" s="13" t="s">
        <v>1631</v>
      </c>
      <c r="C149" s="8">
        <v>4</v>
      </c>
      <c r="D149" s="9">
        <v>28.8</v>
      </c>
      <c r="E149" s="9">
        <v>115.2</v>
      </c>
      <c r="F149" s="8" t="s">
        <v>1297</v>
      </c>
      <c r="G149" s="13" t="s">
        <v>140</v>
      </c>
      <c r="H149" s="19" t="s">
        <v>32</v>
      </c>
      <c r="I149" s="13" t="s">
        <v>11</v>
      </c>
      <c r="J149" s="13" t="s">
        <v>343</v>
      </c>
      <c r="K149" s="13" t="s">
        <v>393</v>
      </c>
      <c r="L149" s="13"/>
      <c r="M149" s="13"/>
      <c r="N149" s="20" t="str">
        <f>HYPERLINK("http://slimages.macys.com/is/image/MCY/20576871 ")</f>
        <v xml:space="preserve">http://slimages.macys.com/is/image/MCY/20576871 </v>
      </c>
    </row>
    <row r="150" spans="1:14" x14ac:dyDescent="0.25">
      <c r="A150" s="19" t="s">
        <v>2775</v>
      </c>
      <c r="B150" s="13" t="s">
        <v>2776</v>
      </c>
      <c r="C150" s="8">
        <v>8</v>
      </c>
      <c r="D150" s="9">
        <v>27</v>
      </c>
      <c r="E150" s="9">
        <v>216</v>
      </c>
      <c r="F150" s="8" t="s">
        <v>2570</v>
      </c>
      <c r="G150" s="13" t="s">
        <v>963</v>
      </c>
      <c r="H150" s="19" t="s">
        <v>149</v>
      </c>
      <c r="I150" s="13" t="s">
        <v>11</v>
      </c>
      <c r="J150" s="13" t="s">
        <v>343</v>
      </c>
      <c r="K150" s="13" t="s">
        <v>393</v>
      </c>
      <c r="L150" s="13"/>
      <c r="M150" s="13"/>
      <c r="N150" s="20" t="str">
        <f>HYPERLINK("http://slimages.macys.com/is/image/MCY/20069875 ")</f>
        <v xml:space="preserve">http://slimages.macys.com/is/image/MCY/20069875 </v>
      </c>
    </row>
    <row r="151" spans="1:14" x14ac:dyDescent="0.25">
      <c r="A151" s="19" t="s">
        <v>2858</v>
      </c>
      <c r="B151" s="13" t="s">
        <v>2859</v>
      </c>
      <c r="C151" s="8">
        <v>1</v>
      </c>
      <c r="D151" s="9">
        <v>33.6</v>
      </c>
      <c r="E151" s="9">
        <v>33.6</v>
      </c>
      <c r="F151" s="8">
        <v>4513</v>
      </c>
      <c r="G151" s="13" t="s">
        <v>349</v>
      </c>
      <c r="H151" s="19" t="s">
        <v>117</v>
      </c>
      <c r="I151" s="13" t="s">
        <v>11</v>
      </c>
      <c r="J151" s="13" t="s">
        <v>109</v>
      </c>
      <c r="K151" s="13" t="s">
        <v>116</v>
      </c>
      <c r="L151" s="13" t="s">
        <v>111</v>
      </c>
      <c r="M151" s="13" t="s">
        <v>605</v>
      </c>
      <c r="N151" s="20" t="str">
        <f>HYPERLINK("http://slimages.macys.com/is/image/MCY/3468586 ")</f>
        <v xml:space="preserve">http://slimages.macys.com/is/image/MCY/3468586 </v>
      </c>
    </row>
    <row r="152" spans="1:14" x14ac:dyDescent="0.25">
      <c r="A152" s="19" t="s">
        <v>602</v>
      </c>
      <c r="B152" s="13" t="s">
        <v>603</v>
      </c>
      <c r="C152" s="8">
        <v>1</v>
      </c>
      <c r="D152" s="9">
        <v>33.6</v>
      </c>
      <c r="E152" s="9">
        <v>33.6</v>
      </c>
      <c r="F152" s="8">
        <v>4513</v>
      </c>
      <c r="G152" s="13" t="s">
        <v>44</v>
      </c>
      <c r="H152" s="19" t="s">
        <v>604</v>
      </c>
      <c r="I152" s="13" t="s">
        <v>11</v>
      </c>
      <c r="J152" s="13" t="s">
        <v>109</v>
      </c>
      <c r="K152" s="13" t="s">
        <v>116</v>
      </c>
      <c r="L152" s="13" t="s">
        <v>111</v>
      </c>
      <c r="M152" s="13" t="s">
        <v>605</v>
      </c>
      <c r="N152" s="20" t="str">
        <f>HYPERLINK("http://slimages.macys.com/is/image/MCY/3468586 ")</f>
        <v xml:space="preserve">http://slimages.macys.com/is/image/MCY/3468586 </v>
      </c>
    </row>
    <row r="153" spans="1:14" x14ac:dyDescent="0.25">
      <c r="A153" s="19" t="s">
        <v>2964</v>
      </c>
      <c r="B153" s="13" t="s">
        <v>2965</v>
      </c>
      <c r="C153" s="8">
        <v>1</v>
      </c>
      <c r="D153" s="9">
        <v>50</v>
      </c>
      <c r="E153" s="9">
        <v>50</v>
      </c>
      <c r="F153" s="8">
        <v>821</v>
      </c>
      <c r="G153" s="13" t="s">
        <v>122</v>
      </c>
      <c r="H153" s="19" t="s">
        <v>2966</v>
      </c>
      <c r="I153" s="13" t="s">
        <v>11</v>
      </c>
      <c r="J153" s="13" t="s">
        <v>533</v>
      </c>
      <c r="K153" s="13" t="s">
        <v>1377</v>
      </c>
      <c r="L153" s="13" t="s">
        <v>961</v>
      </c>
      <c r="M153" s="13" t="s">
        <v>1378</v>
      </c>
      <c r="N153" s="20" t="str">
        <f>HYPERLINK("http://slimages.macys.com/is/image/MCY/13333978 ")</f>
        <v xml:space="preserve">http://slimages.macys.com/is/image/MCY/13333978 </v>
      </c>
    </row>
    <row r="154" spans="1:14" x14ac:dyDescent="0.25">
      <c r="A154" s="19" t="s">
        <v>1621</v>
      </c>
      <c r="B154" s="13" t="s">
        <v>1622</v>
      </c>
      <c r="C154" s="8">
        <v>4</v>
      </c>
      <c r="D154" s="9">
        <v>54</v>
      </c>
      <c r="E154" s="9">
        <v>216</v>
      </c>
      <c r="F154" s="8" t="s">
        <v>1467</v>
      </c>
      <c r="G154" s="13" t="s">
        <v>107</v>
      </c>
      <c r="H154" s="19" t="s">
        <v>228</v>
      </c>
      <c r="I154" s="13" t="s">
        <v>11</v>
      </c>
      <c r="J154" s="13" t="s">
        <v>343</v>
      </c>
      <c r="K154" s="13" t="s">
        <v>1468</v>
      </c>
      <c r="L154" s="13"/>
      <c r="M154" s="13"/>
      <c r="N154" s="20" t="str">
        <f>HYPERLINK("http://slimages.macys.com/is/image/MCY/20226388 ")</f>
        <v xml:space="preserve">http://slimages.macys.com/is/image/MCY/20226388 </v>
      </c>
    </row>
    <row r="155" spans="1:14" x14ac:dyDescent="0.25">
      <c r="A155" s="19" t="s">
        <v>2927</v>
      </c>
      <c r="B155" s="13" t="s">
        <v>2928</v>
      </c>
      <c r="C155" s="8">
        <v>1</v>
      </c>
      <c r="D155" s="9">
        <v>74</v>
      </c>
      <c r="E155" s="9">
        <v>74</v>
      </c>
      <c r="F155" s="8" t="s">
        <v>1616</v>
      </c>
      <c r="G155" s="13" t="s">
        <v>82</v>
      </c>
      <c r="H155" s="19" t="s">
        <v>228</v>
      </c>
      <c r="I155" s="13" t="s">
        <v>11</v>
      </c>
      <c r="J155" s="13" t="s">
        <v>343</v>
      </c>
      <c r="K155" s="13" t="s">
        <v>1468</v>
      </c>
      <c r="L155" s="13"/>
      <c r="M155" s="13"/>
      <c r="N155" s="20" t="str">
        <f>HYPERLINK("http://slimages.macys.com/is/image/MCY/20226291 ")</f>
        <v xml:space="preserve">http://slimages.macys.com/is/image/MCY/20226291 </v>
      </c>
    </row>
    <row r="156" spans="1:14" x14ac:dyDescent="0.25">
      <c r="A156" s="19" t="s">
        <v>1540</v>
      </c>
      <c r="B156" s="13" t="s">
        <v>1541</v>
      </c>
      <c r="C156" s="8">
        <v>8</v>
      </c>
      <c r="D156" s="9">
        <v>25.2</v>
      </c>
      <c r="E156" s="9">
        <v>201.6</v>
      </c>
      <c r="F156" s="8" t="s">
        <v>1301</v>
      </c>
      <c r="G156" s="13" t="s">
        <v>122</v>
      </c>
      <c r="H156" s="19" t="s">
        <v>40</v>
      </c>
      <c r="I156" s="13" t="s">
        <v>11</v>
      </c>
      <c r="J156" s="13" t="s">
        <v>343</v>
      </c>
      <c r="K156" s="13" t="s">
        <v>379</v>
      </c>
      <c r="L156" s="13"/>
      <c r="M156" s="13"/>
      <c r="N156" s="20" t="str">
        <f>HYPERLINK("http://slimages.macys.com/is/image/MCY/20376290 ")</f>
        <v xml:space="preserve">http://slimages.macys.com/is/image/MCY/20376290 </v>
      </c>
    </row>
    <row r="157" spans="1:14" x14ac:dyDescent="0.25">
      <c r="A157" s="19" t="s">
        <v>2807</v>
      </c>
      <c r="B157" s="13" t="s">
        <v>2808</v>
      </c>
      <c r="C157" s="8">
        <v>15</v>
      </c>
      <c r="D157" s="9">
        <v>25.2</v>
      </c>
      <c r="E157" s="9">
        <v>378</v>
      </c>
      <c r="F157" s="8" t="s">
        <v>1301</v>
      </c>
      <c r="G157" s="13" t="s">
        <v>122</v>
      </c>
      <c r="H157" s="19" t="s">
        <v>55</v>
      </c>
      <c r="I157" s="13" t="s">
        <v>11</v>
      </c>
      <c r="J157" s="13" t="s">
        <v>343</v>
      </c>
      <c r="K157" s="13" t="s">
        <v>379</v>
      </c>
      <c r="L157" s="13"/>
      <c r="M157" s="13"/>
      <c r="N157" s="20" t="str">
        <f>HYPERLINK("http://slimages.macys.com/is/image/MCY/20376290 ")</f>
        <v xml:space="preserve">http://slimages.macys.com/is/image/MCY/20376290 </v>
      </c>
    </row>
    <row r="158" spans="1:14" x14ac:dyDescent="0.25">
      <c r="A158" s="19" t="s">
        <v>1532</v>
      </c>
      <c r="B158" s="13" t="s">
        <v>1533</v>
      </c>
      <c r="C158" s="8">
        <v>6</v>
      </c>
      <c r="D158" s="9">
        <v>25.2</v>
      </c>
      <c r="E158" s="9">
        <v>151.19999999999999</v>
      </c>
      <c r="F158" s="8" t="s">
        <v>1301</v>
      </c>
      <c r="G158" s="13" t="s">
        <v>122</v>
      </c>
      <c r="H158" s="19" t="s">
        <v>27</v>
      </c>
      <c r="I158" s="13" t="s">
        <v>11</v>
      </c>
      <c r="J158" s="13" t="s">
        <v>343</v>
      </c>
      <c r="K158" s="13" t="s">
        <v>379</v>
      </c>
      <c r="L158" s="13"/>
      <c r="M158" s="13"/>
      <c r="N158" s="20" t="str">
        <f>HYPERLINK("http://slimages.macys.com/is/image/MCY/20376290 ")</f>
        <v xml:space="preserve">http://slimages.macys.com/is/image/MCY/20376290 </v>
      </c>
    </row>
    <row r="159" spans="1:14" x14ac:dyDescent="0.25">
      <c r="A159" s="19" t="s">
        <v>1304</v>
      </c>
      <c r="B159" s="13" t="s">
        <v>1305</v>
      </c>
      <c r="C159" s="8">
        <v>4</v>
      </c>
      <c r="D159" s="9">
        <v>36</v>
      </c>
      <c r="E159" s="9">
        <v>144</v>
      </c>
      <c r="F159" s="8" t="s">
        <v>1306</v>
      </c>
      <c r="G159" s="13" t="s">
        <v>31</v>
      </c>
      <c r="H159" s="19" t="s">
        <v>32</v>
      </c>
      <c r="I159" s="13" t="s">
        <v>11</v>
      </c>
      <c r="J159" s="13" t="s">
        <v>343</v>
      </c>
      <c r="K159" s="13" t="s">
        <v>379</v>
      </c>
      <c r="L159" s="13"/>
      <c r="M159" s="13"/>
      <c r="N159" s="20" t="str">
        <f t="shared" ref="N159:N169" si="2">HYPERLINK("http://slimages.macys.com/is/image/MCY/19626293 ")</f>
        <v xml:space="preserve">http://slimages.macys.com/is/image/MCY/19626293 </v>
      </c>
    </row>
    <row r="160" spans="1:14" x14ac:dyDescent="0.25">
      <c r="A160" s="19" t="s">
        <v>1327</v>
      </c>
      <c r="B160" s="13" t="s">
        <v>1328</v>
      </c>
      <c r="C160" s="8">
        <v>4</v>
      </c>
      <c r="D160" s="9">
        <v>36</v>
      </c>
      <c r="E160" s="9">
        <v>144</v>
      </c>
      <c r="F160" s="8" t="s">
        <v>1306</v>
      </c>
      <c r="G160" s="13" t="s">
        <v>31</v>
      </c>
      <c r="H160" s="19" t="s">
        <v>40</v>
      </c>
      <c r="I160" s="13" t="s">
        <v>11</v>
      </c>
      <c r="J160" s="13" t="s">
        <v>343</v>
      </c>
      <c r="K160" s="13" t="s">
        <v>379</v>
      </c>
      <c r="L160" s="13"/>
      <c r="M160" s="13"/>
      <c r="N160" s="20" t="str">
        <f t="shared" si="2"/>
        <v xml:space="preserve">http://slimages.macys.com/is/image/MCY/19626293 </v>
      </c>
    </row>
    <row r="161" spans="1:14" x14ac:dyDescent="0.25">
      <c r="A161" s="19" t="s">
        <v>1321</v>
      </c>
      <c r="B161" s="13" t="s">
        <v>1322</v>
      </c>
      <c r="C161" s="8">
        <v>3</v>
      </c>
      <c r="D161" s="9">
        <v>36</v>
      </c>
      <c r="E161" s="9">
        <v>108</v>
      </c>
      <c r="F161" s="8" t="s">
        <v>1306</v>
      </c>
      <c r="G161" s="13" t="s">
        <v>31</v>
      </c>
      <c r="H161" s="19" t="s">
        <v>55</v>
      </c>
      <c r="I161" s="13" t="s">
        <v>11</v>
      </c>
      <c r="J161" s="13" t="s">
        <v>343</v>
      </c>
      <c r="K161" s="13" t="s">
        <v>379</v>
      </c>
      <c r="L161" s="13"/>
      <c r="M161" s="13"/>
      <c r="N161" s="20" t="str">
        <f t="shared" si="2"/>
        <v xml:space="preserve">http://slimages.macys.com/is/image/MCY/19626293 </v>
      </c>
    </row>
    <row r="162" spans="1:14" x14ac:dyDescent="0.25">
      <c r="A162" s="19" t="s">
        <v>1315</v>
      </c>
      <c r="B162" s="13" t="s">
        <v>1316</v>
      </c>
      <c r="C162" s="8">
        <v>4</v>
      </c>
      <c r="D162" s="9">
        <v>36</v>
      </c>
      <c r="E162" s="9">
        <v>144</v>
      </c>
      <c r="F162" s="8" t="s">
        <v>1306</v>
      </c>
      <c r="G162" s="13" t="s">
        <v>44</v>
      </c>
      <c r="H162" s="19" t="s">
        <v>40</v>
      </c>
      <c r="I162" s="13" t="s">
        <v>11</v>
      </c>
      <c r="J162" s="13" t="s">
        <v>343</v>
      </c>
      <c r="K162" s="13" t="s">
        <v>379</v>
      </c>
      <c r="L162" s="13"/>
      <c r="M162" s="13"/>
      <c r="N162" s="20" t="str">
        <f t="shared" si="2"/>
        <v xml:space="preserve">http://slimages.macys.com/is/image/MCY/19626293 </v>
      </c>
    </row>
    <row r="163" spans="1:14" x14ac:dyDescent="0.25">
      <c r="A163" s="19" t="s">
        <v>1319</v>
      </c>
      <c r="B163" s="13" t="s">
        <v>1320</v>
      </c>
      <c r="C163" s="8">
        <v>3</v>
      </c>
      <c r="D163" s="9">
        <v>36</v>
      </c>
      <c r="E163" s="9">
        <v>108</v>
      </c>
      <c r="F163" s="8" t="s">
        <v>1306</v>
      </c>
      <c r="G163" s="13" t="s">
        <v>44</v>
      </c>
      <c r="H163" s="19" t="s">
        <v>55</v>
      </c>
      <c r="I163" s="13" t="s">
        <v>11</v>
      </c>
      <c r="J163" s="13" t="s">
        <v>343</v>
      </c>
      <c r="K163" s="13" t="s">
        <v>379</v>
      </c>
      <c r="L163" s="13"/>
      <c r="M163" s="13"/>
      <c r="N163" s="20" t="str">
        <f t="shared" si="2"/>
        <v xml:space="preserve">http://slimages.macys.com/is/image/MCY/19626293 </v>
      </c>
    </row>
    <row r="164" spans="1:14" x14ac:dyDescent="0.25">
      <c r="A164" s="19" t="s">
        <v>1313</v>
      </c>
      <c r="B164" s="13" t="s">
        <v>1314</v>
      </c>
      <c r="C164" s="8">
        <v>6</v>
      </c>
      <c r="D164" s="9">
        <v>36</v>
      </c>
      <c r="E164" s="9">
        <v>216</v>
      </c>
      <c r="F164" s="8" t="s">
        <v>1306</v>
      </c>
      <c r="G164" s="13" t="s">
        <v>44</v>
      </c>
      <c r="H164" s="19" t="s">
        <v>27</v>
      </c>
      <c r="I164" s="13" t="s">
        <v>11</v>
      </c>
      <c r="J164" s="13" t="s">
        <v>343</v>
      </c>
      <c r="K164" s="13" t="s">
        <v>379</v>
      </c>
      <c r="L164" s="13"/>
      <c r="M164" s="13"/>
      <c r="N164" s="20" t="str">
        <f t="shared" si="2"/>
        <v xml:space="preserve">http://slimages.macys.com/is/image/MCY/19626293 </v>
      </c>
    </row>
    <row r="165" spans="1:14" x14ac:dyDescent="0.25">
      <c r="A165" s="19" t="s">
        <v>1325</v>
      </c>
      <c r="B165" s="13" t="s">
        <v>1326</v>
      </c>
      <c r="C165" s="8">
        <v>4</v>
      </c>
      <c r="D165" s="9">
        <v>36</v>
      </c>
      <c r="E165" s="9">
        <v>144</v>
      </c>
      <c r="F165" s="8" t="s">
        <v>1306</v>
      </c>
      <c r="G165" s="13" t="s">
        <v>86</v>
      </c>
      <c r="H165" s="19" t="s">
        <v>32</v>
      </c>
      <c r="I165" s="13" t="s">
        <v>11</v>
      </c>
      <c r="J165" s="13" t="s">
        <v>343</v>
      </c>
      <c r="K165" s="13" t="s">
        <v>379</v>
      </c>
      <c r="L165" s="13"/>
      <c r="M165" s="13"/>
      <c r="N165" s="20" t="str">
        <f t="shared" si="2"/>
        <v xml:space="preserve">http://slimages.macys.com/is/image/MCY/19626293 </v>
      </c>
    </row>
    <row r="166" spans="1:14" x14ac:dyDescent="0.25">
      <c r="A166" s="19" t="s">
        <v>1323</v>
      </c>
      <c r="B166" s="13" t="s">
        <v>1324</v>
      </c>
      <c r="C166" s="8">
        <v>15</v>
      </c>
      <c r="D166" s="9">
        <v>36</v>
      </c>
      <c r="E166" s="9">
        <v>540</v>
      </c>
      <c r="F166" s="8" t="s">
        <v>1306</v>
      </c>
      <c r="G166" s="13" t="s">
        <v>86</v>
      </c>
      <c r="H166" s="19" t="s">
        <v>27</v>
      </c>
      <c r="I166" s="13" t="s">
        <v>11</v>
      </c>
      <c r="J166" s="13" t="s">
        <v>343</v>
      </c>
      <c r="K166" s="13" t="s">
        <v>379</v>
      </c>
      <c r="L166" s="13"/>
      <c r="M166" s="13"/>
      <c r="N166" s="20" t="str">
        <f t="shared" si="2"/>
        <v xml:space="preserve">http://slimages.macys.com/is/image/MCY/19626293 </v>
      </c>
    </row>
    <row r="167" spans="1:14" x14ac:dyDescent="0.25">
      <c r="A167" s="19" t="s">
        <v>1311</v>
      </c>
      <c r="B167" s="13" t="s">
        <v>1312</v>
      </c>
      <c r="C167" s="8">
        <v>12</v>
      </c>
      <c r="D167" s="9">
        <v>36</v>
      </c>
      <c r="E167" s="9">
        <v>432</v>
      </c>
      <c r="F167" s="8" t="s">
        <v>1306</v>
      </c>
      <c r="G167" s="13" t="s">
        <v>349</v>
      </c>
      <c r="H167" s="19" t="s">
        <v>32</v>
      </c>
      <c r="I167" s="13" t="s">
        <v>11</v>
      </c>
      <c r="J167" s="13" t="s">
        <v>343</v>
      </c>
      <c r="K167" s="13" t="s">
        <v>379</v>
      </c>
      <c r="L167" s="13"/>
      <c r="M167" s="13"/>
      <c r="N167" s="20" t="str">
        <f t="shared" si="2"/>
        <v xml:space="preserve">http://slimages.macys.com/is/image/MCY/19626293 </v>
      </c>
    </row>
    <row r="168" spans="1:14" x14ac:dyDescent="0.25">
      <c r="A168" s="19" t="s">
        <v>1309</v>
      </c>
      <c r="B168" s="13" t="s">
        <v>1310</v>
      </c>
      <c r="C168" s="8">
        <v>8</v>
      </c>
      <c r="D168" s="9">
        <v>36</v>
      </c>
      <c r="E168" s="9">
        <v>288</v>
      </c>
      <c r="F168" s="8" t="s">
        <v>1306</v>
      </c>
      <c r="G168" s="13" t="s">
        <v>349</v>
      </c>
      <c r="H168" s="19" t="s">
        <v>55</v>
      </c>
      <c r="I168" s="13" t="s">
        <v>11</v>
      </c>
      <c r="J168" s="13" t="s">
        <v>343</v>
      </c>
      <c r="K168" s="13" t="s">
        <v>379</v>
      </c>
      <c r="L168" s="13"/>
      <c r="M168" s="13"/>
      <c r="N168" s="20" t="str">
        <f t="shared" si="2"/>
        <v xml:space="preserve">http://slimages.macys.com/is/image/MCY/19626293 </v>
      </c>
    </row>
    <row r="169" spans="1:14" x14ac:dyDescent="0.25">
      <c r="A169" s="19" t="s">
        <v>1307</v>
      </c>
      <c r="B169" s="13" t="s">
        <v>1308</v>
      </c>
      <c r="C169" s="8">
        <v>7</v>
      </c>
      <c r="D169" s="9">
        <v>36</v>
      </c>
      <c r="E169" s="9">
        <v>252</v>
      </c>
      <c r="F169" s="8" t="s">
        <v>1306</v>
      </c>
      <c r="G169" s="13" t="s">
        <v>349</v>
      </c>
      <c r="H169" s="19" t="s">
        <v>27</v>
      </c>
      <c r="I169" s="13" t="s">
        <v>11</v>
      </c>
      <c r="J169" s="13" t="s">
        <v>343</v>
      </c>
      <c r="K169" s="13" t="s">
        <v>379</v>
      </c>
      <c r="L169" s="13"/>
      <c r="M169" s="13"/>
      <c r="N169" s="20" t="str">
        <f t="shared" si="2"/>
        <v xml:space="preserve">http://slimages.macys.com/is/image/MCY/19626293 </v>
      </c>
    </row>
    <row r="170" spans="1:14" x14ac:dyDescent="0.25">
      <c r="A170" s="19" t="s">
        <v>2972</v>
      </c>
      <c r="B170" s="13" t="s">
        <v>2973</v>
      </c>
      <c r="C170" s="8">
        <v>1</v>
      </c>
      <c r="D170" s="9">
        <v>29</v>
      </c>
      <c r="E170" s="9">
        <v>29</v>
      </c>
      <c r="F170" s="8" t="s">
        <v>2974</v>
      </c>
      <c r="G170" s="13" t="s">
        <v>31</v>
      </c>
      <c r="H170" s="19" t="s">
        <v>972</v>
      </c>
      <c r="I170" s="13" t="s">
        <v>893</v>
      </c>
      <c r="J170" s="13" t="s">
        <v>533</v>
      </c>
      <c r="K170" s="13" t="s">
        <v>2970</v>
      </c>
      <c r="L170" s="13" t="s">
        <v>220</v>
      </c>
      <c r="M170" s="13" t="s">
        <v>1378</v>
      </c>
      <c r="N170" s="20" t="str">
        <f>HYPERLINK("http://images.bloomingdales.com/is/image/BLM/10642601 ")</f>
        <v xml:space="preserve">http://images.bloomingdales.com/is/image/BLM/10642601 </v>
      </c>
    </row>
    <row r="171" spans="1:14" x14ac:dyDescent="0.25">
      <c r="A171" s="19" t="s">
        <v>2979</v>
      </c>
      <c r="B171" s="13" t="s">
        <v>891</v>
      </c>
      <c r="C171" s="8">
        <v>1</v>
      </c>
      <c r="D171" s="9">
        <v>30</v>
      </c>
      <c r="E171" s="9">
        <v>30</v>
      </c>
      <c r="F171" s="8" t="s">
        <v>892</v>
      </c>
      <c r="G171" s="13" t="s">
        <v>125</v>
      </c>
      <c r="H171" s="19" t="s">
        <v>32</v>
      </c>
      <c r="I171" s="13" t="s">
        <v>11</v>
      </c>
      <c r="J171" s="13" t="s">
        <v>533</v>
      </c>
      <c r="K171" s="13" t="s">
        <v>537</v>
      </c>
      <c r="L171" s="13"/>
      <c r="M171" s="13"/>
      <c r="N171" s="20"/>
    </row>
    <row r="172" spans="1:14" x14ac:dyDescent="0.25">
      <c r="A172" s="19" t="s">
        <v>156</v>
      </c>
      <c r="B172" s="13" t="s">
        <v>1668</v>
      </c>
      <c r="C172" s="8">
        <v>1</v>
      </c>
      <c r="D172" s="9">
        <v>42</v>
      </c>
      <c r="E172" s="9">
        <v>42</v>
      </c>
      <c r="F172" s="8" t="s">
        <v>157</v>
      </c>
      <c r="G172" s="13" t="s">
        <v>83</v>
      </c>
      <c r="H172" s="19" t="s">
        <v>40</v>
      </c>
      <c r="I172" s="13" t="s">
        <v>893</v>
      </c>
      <c r="J172" s="13" t="s">
        <v>217</v>
      </c>
      <c r="K172" s="13" t="s">
        <v>143</v>
      </c>
      <c r="L172" s="13"/>
      <c r="M172" s="13"/>
      <c r="N172" s="20" t="str">
        <f>HYPERLINK("http://slimages.macys.com/is/image/MCY/19150867 ")</f>
        <v xml:space="preserve">http://slimages.macys.com/is/image/MCY/19150867 </v>
      </c>
    </row>
    <row r="173" spans="1:14" x14ac:dyDescent="0.25">
      <c r="A173" s="19" t="s">
        <v>2876</v>
      </c>
      <c r="B173" s="13" t="s">
        <v>2877</v>
      </c>
      <c r="C173" s="8">
        <v>1</v>
      </c>
      <c r="D173" s="9">
        <v>84</v>
      </c>
      <c r="E173" s="9">
        <v>84</v>
      </c>
      <c r="F173" s="8" t="s">
        <v>153</v>
      </c>
      <c r="G173" s="13" t="s">
        <v>31</v>
      </c>
      <c r="H173" s="19" t="s">
        <v>40</v>
      </c>
      <c r="I173" s="13" t="s">
        <v>893</v>
      </c>
      <c r="J173" s="13" t="s">
        <v>217</v>
      </c>
      <c r="K173" s="13" t="s">
        <v>143</v>
      </c>
      <c r="L173" s="13"/>
      <c r="M173" s="13"/>
      <c r="N173" s="20" t="str">
        <f>HYPERLINK("http://slimages.macys.com/is/image/MCY/19762539 ")</f>
        <v xml:space="preserve">http://slimages.macys.com/is/image/MCY/19762539 </v>
      </c>
    </row>
    <row r="174" spans="1:14" x14ac:dyDescent="0.25">
      <c r="A174" s="19" t="s">
        <v>2953</v>
      </c>
      <c r="B174" s="13" t="s">
        <v>2954</v>
      </c>
      <c r="C174" s="8">
        <v>1</v>
      </c>
      <c r="D174" s="9">
        <v>34</v>
      </c>
      <c r="E174" s="9">
        <v>34</v>
      </c>
      <c r="F174" s="8" t="s">
        <v>2955</v>
      </c>
      <c r="G174" s="13" t="s">
        <v>44</v>
      </c>
      <c r="H174" s="19"/>
      <c r="I174" s="13" t="s">
        <v>11</v>
      </c>
      <c r="J174" s="13" t="s">
        <v>343</v>
      </c>
      <c r="K174" s="13" t="s">
        <v>777</v>
      </c>
      <c r="L174" s="13"/>
      <c r="M174" s="13"/>
      <c r="N174" s="20" t="str">
        <f>HYPERLINK("http://slimages.macys.com/is/image/MCY/17977731 ")</f>
        <v xml:space="preserve">http://slimages.macys.com/is/image/MCY/17977731 </v>
      </c>
    </row>
    <row r="175" spans="1:14" x14ac:dyDescent="0.25">
      <c r="A175" s="19" t="s">
        <v>2882</v>
      </c>
      <c r="B175" s="13" t="s">
        <v>2883</v>
      </c>
      <c r="C175" s="8">
        <v>1</v>
      </c>
      <c r="D175" s="9">
        <v>48</v>
      </c>
      <c r="E175" s="9">
        <v>48</v>
      </c>
      <c r="F175" s="8">
        <v>65124</v>
      </c>
      <c r="G175" s="13" t="s">
        <v>31</v>
      </c>
      <c r="H175" s="19" t="s">
        <v>108</v>
      </c>
      <c r="I175" s="13" t="s">
        <v>11</v>
      </c>
      <c r="J175" s="13" t="s">
        <v>233</v>
      </c>
      <c r="K175" s="13" t="s">
        <v>234</v>
      </c>
      <c r="L175" s="13" t="s">
        <v>111</v>
      </c>
      <c r="M175" s="13" t="s">
        <v>2884</v>
      </c>
      <c r="N175" s="20" t="str">
        <f>HYPERLINK("http://slimages.macys.com/is/image/MCY/3624946 ")</f>
        <v xml:space="preserve">http://slimages.macys.com/is/image/MCY/3624946 </v>
      </c>
    </row>
    <row r="176" spans="1:14" x14ac:dyDescent="0.25">
      <c r="A176" s="19" t="s">
        <v>2878</v>
      </c>
      <c r="B176" s="13" t="s">
        <v>2879</v>
      </c>
      <c r="C176" s="8">
        <v>1</v>
      </c>
      <c r="D176" s="9">
        <v>60</v>
      </c>
      <c r="E176" s="9">
        <v>60</v>
      </c>
      <c r="F176" s="8">
        <v>85185</v>
      </c>
      <c r="G176" s="13" t="s">
        <v>127</v>
      </c>
      <c r="H176" s="19" t="s">
        <v>1665</v>
      </c>
      <c r="I176" s="13" t="s">
        <v>11</v>
      </c>
      <c r="J176" s="13" t="s">
        <v>233</v>
      </c>
      <c r="K176" s="13" t="s">
        <v>234</v>
      </c>
      <c r="L176" s="13" t="s">
        <v>111</v>
      </c>
      <c r="M176" s="13" t="s">
        <v>113</v>
      </c>
      <c r="N176" s="20" t="str">
        <f>HYPERLINK("http://slimages.macys.com/is/image/MCY/3660439 ")</f>
        <v xml:space="preserve">http://slimages.macys.com/is/image/MCY/3660439 </v>
      </c>
    </row>
    <row r="177" spans="1:14" x14ac:dyDescent="0.25">
      <c r="A177" s="19" t="s">
        <v>2880</v>
      </c>
      <c r="B177" s="13" t="s">
        <v>2881</v>
      </c>
      <c r="C177" s="8">
        <v>1</v>
      </c>
      <c r="D177" s="9">
        <v>60</v>
      </c>
      <c r="E177" s="9">
        <v>60</v>
      </c>
      <c r="F177" s="8">
        <v>85185</v>
      </c>
      <c r="G177" s="13" t="s">
        <v>127</v>
      </c>
      <c r="H177" s="19" t="s">
        <v>112</v>
      </c>
      <c r="I177" s="13" t="s">
        <v>11</v>
      </c>
      <c r="J177" s="13" t="s">
        <v>233</v>
      </c>
      <c r="K177" s="13" t="s">
        <v>234</v>
      </c>
      <c r="L177" s="13" t="s">
        <v>111</v>
      </c>
      <c r="M177" s="13" t="s">
        <v>113</v>
      </c>
      <c r="N177" s="20" t="str">
        <f>HYPERLINK("http://slimages.macys.com/is/image/MCY/3660439 ")</f>
        <v xml:space="preserve">http://slimages.macys.com/is/image/MCY/3660439 </v>
      </c>
    </row>
  </sheetData>
  <sortState ref="A2:N177">
    <sortCondition ref="B1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6"/>
  <sheetViews>
    <sheetView workbookViewId="0"/>
  </sheetViews>
  <sheetFormatPr defaultColWidth="74.140625" defaultRowHeight="15" x14ac:dyDescent="0.25"/>
  <cols>
    <col min="1" max="1" width="14.140625" style="12" bestFit="1" customWidth="1"/>
    <col min="2" max="2" width="66.28515625" style="12" bestFit="1" customWidth="1"/>
    <col min="3" max="3" width="12.42578125" style="12" bestFit="1" customWidth="1"/>
    <col min="4" max="4" width="15" style="12" bestFit="1" customWidth="1"/>
    <col min="5" max="5" width="21" style="12" bestFit="1" customWidth="1"/>
    <col min="6" max="6" width="15.85546875" style="12" bestFit="1" customWidth="1"/>
    <col min="7" max="7" width="13.140625" style="12" bestFit="1" customWidth="1"/>
    <col min="8" max="8" width="10.85546875" style="12" bestFit="1" customWidth="1"/>
    <col min="9" max="9" width="8.140625" style="12" bestFit="1" customWidth="1"/>
    <col min="10" max="10" width="17.5703125" style="12" bestFit="1" customWidth="1"/>
    <col min="11" max="11" width="39.5703125" style="12" bestFit="1" customWidth="1"/>
    <col min="12" max="12" width="17.7109375" style="12" bestFit="1" customWidth="1"/>
    <col min="13" max="13" width="58.42578125" style="12" bestFit="1" customWidth="1"/>
    <col min="14" max="14" width="48.140625" style="12" bestFit="1" customWidth="1"/>
    <col min="15" max="16384" width="74.140625" style="12"/>
  </cols>
  <sheetData>
    <row r="1" spans="1:14" x14ac:dyDescent="0.25">
      <c r="A1" s="1" t="s">
        <v>12</v>
      </c>
      <c r="B1" s="1" t="s">
        <v>13</v>
      </c>
      <c r="C1" s="1" t="s">
        <v>14</v>
      </c>
      <c r="D1" s="1" t="s">
        <v>5</v>
      </c>
      <c r="E1" s="1" t="s">
        <v>9</v>
      </c>
      <c r="F1" s="1" t="s">
        <v>15</v>
      </c>
      <c r="G1" s="1" t="s">
        <v>16</v>
      </c>
      <c r="H1" s="1" t="s">
        <v>17</v>
      </c>
      <c r="I1" s="1" t="s">
        <v>10</v>
      </c>
      <c r="J1" s="1" t="s">
        <v>18</v>
      </c>
      <c r="K1" s="1" t="s">
        <v>19</v>
      </c>
      <c r="L1" s="1" t="s">
        <v>20</v>
      </c>
      <c r="M1" s="1" t="s">
        <v>21</v>
      </c>
      <c r="N1" s="1" t="s">
        <v>22</v>
      </c>
    </row>
    <row r="2" spans="1:14" x14ac:dyDescent="0.25">
      <c r="A2" s="19" t="s">
        <v>2984</v>
      </c>
      <c r="B2" s="13" t="s">
        <v>2985</v>
      </c>
      <c r="C2" s="8">
        <v>1</v>
      </c>
      <c r="D2" s="9">
        <v>29.99</v>
      </c>
      <c r="E2" s="9">
        <v>29.99</v>
      </c>
      <c r="F2" s="8" t="s">
        <v>65</v>
      </c>
      <c r="G2" s="13" t="s">
        <v>31</v>
      </c>
      <c r="H2" s="19" t="s">
        <v>40</v>
      </c>
      <c r="I2" s="13" t="s">
        <v>11</v>
      </c>
      <c r="J2" s="13" t="s">
        <v>28</v>
      </c>
      <c r="K2" s="13" t="s">
        <v>29</v>
      </c>
      <c r="L2" s="13"/>
      <c r="M2" s="13"/>
      <c r="N2" s="20" t="str">
        <f>HYPERLINK("http://slimages.macys.com/is/image/MCY/18468745 ")</f>
        <v xml:space="preserve">http://slimages.macys.com/is/image/MCY/18468745 </v>
      </c>
    </row>
    <row r="3" spans="1:14" x14ac:dyDescent="0.25">
      <c r="A3" s="19" t="s">
        <v>2980</v>
      </c>
      <c r="B3" s="13" t="s">
        <v>2981</v>
      </c>
      <c r="C3" s="8">
        <v>1</v>
      </c>
      <c r="D3" s="9">
        <v>44.99</v>
      </c>
      <c r="E3" s="9">
        <v>44.99</v>
      </c>
      <c r="F3" s="8" t="s">
        <v>30</v>
      </c>
      <c r="G3" s="13" t="s">
        <v>62</v>
      </c>
      <c r="H3" s="19" t="s">
        <v>40</v>
      </c>
      <c r="I3" s="13" t="s">
        <v>11</v>
      </c>
      <c r="J3" s="13" t="s">
        <v>28</v>
      </c>
      <c r="K3" s="13" t="s">
        <v>29</v>
      </c>
      <c r="L3" s="13"/>
      <c r="M3" s="13"/>
      <c r="N3" s="20" t="str">
        <f>HYPERLINK("http://slimages.macys.com/is/image/MCY/19661942 ")</f>
        <v xml:space="preserve">http://slimages.macys.com/is/image/MCY/19661942 </v>
      </c>
    </row>
    <row r="4" spans="1:14" x14ac:dyDescent="0.25">
      <c r="A4" s="19" t="s">
        <v>2982</v>
      </c>
      <c r="B4" s="13" t="s">
        <v>2983</v>
      </c>
      <c r="C4" s="8">
        <v>1</v>
      </c>
      <c r="D4" s="9">
        <v>44.99</v>
      </c>
      <c r="E4" s="9">
        <v>44.99</v>
      </c>
      <c r="F4" s="8" t="s">
        <v>30</v>
      </c>
      <c r="G4" s="13" t="s">
        <v>37</v>
      </c>
      <c r="H4" s="19" t="s">
        <v>32</v>
      </c>
      <c r="I4" s="13" t="s">
        <v>11</v>
      </c>
      <c r="J4" s="13" t="s">
        <v>28</v>
      </c>
      <c r="K4" s="13" t="s">
        <v>29</v>
      </c>
      <c r="L4" s="13"/>
      <c r="M4" s="13"/>
      <c r="N4" s="20" t="str">
        <f>HYPERLINK("http://slimages.macys.com/is/image/MCY/19661942 ")</f>
        <v xml:space="preserve">http://slimages.macys.com/is/image/MCY/19661942 </v>
      </c>
    </row>
    <row r="5" spans="1:14" x14ac:dyDescent="0.25">
      <c r="A5" s="19" t="s">
        <v>2992</v>
      </c>
      <c r="B5" s="13" t="s">
        <v>2993</v>
      </c>
      <c r="C5" s="8">
        <v>1</v>
      </c>
      <c r="D5" s="9">
        <v>27.99</v>
      </c>
      <c r="E5" s="9">
        <v>27.99</v>
      </c>
      <c r="F5" s="8" t="s">
        <v>2994</v>
      </c>
      <c r="G5" s="13" t="s">
        <v>78</v>
      </c>
      <c r="H5" s="19" t="s">
        <v>55</v>
      </c>
      <c r="I5" s="13" t="s">
        <v>11</v>
      </c>
      <c r="J5" s="13" t="s">
        <v>28</v>
      </c>
      <c r="K5" s="13" t="s">
        <v>29</v>
      </c>
      <c r="L5" s="13"/>
      <c r="M5" s="13"/>
      <c r="N5" s="20" t="str">
        <f>HYPERLINK("http://slimages.macys.com/is/image/MCY/21351233 ")</f>
        <v xml:space="preserve">http://slimages.macys.com/is/image/MCY/21351233 </v>
      </c>
    </row>
    <row r="6" spans="1:14" x14ac:dyDescent="0.25">
      <c r="A6" s="19" t="s">
        <v>1124</v>
      </c>
      <c r="B6" s="13" t="s">
        <v>1125</v>
      </c>
      <c r="C6" s="8">
        <v>1</v>
      </c>
      <c r="D6" s="9">
        <v>34.99</v>
      </c>
      <c r="E6" s="9">
        <v>34.99</v>
      </c>
      <c r="F6" s="8" t="s">
        <v>43</v>
      </c>
      <c r="G6" s="13" t="s">
        <v>44</v>
      </c>
      <c r="H6" s="19" t="s">
        <v>27</v>
      </c>
      <c r="I6" s="13" t="s">
        <v>11</v>
      </c>
      <c r="J6" s="13" t="s">
        <v>28</v>
      </c>
      <c r="K6" s="13" t="s">
        <v>29</v>
      </c>
      <c r="L6" s="13"/>
      <c r="M6" s="13"/>
      <c r="N6" s="20" t="str">
        <f>HYPERLINK("http://slimages.macys.com/is/image/MCY/18574724 ")</f>
        <v xml:space="preserve">http://slimages.macys.com/is/image/MCY/18574724 </v>
      </c>
    </row>
    <row r="7" spans="1:14" x14ac:dyDescent="0.25">
      <c r="A7" s="19" t="s">
        <v>2995</v>
      </c>
      <c r="B7" s="13" t="s">
        <v>2996</v>
      </c>
      <c r="C7" s="8">
        <v>1</v>
      </c>
      <c r="D7" s="9">
        <v>36.99</v>
      </c>
      <c r="E7" s="9">
        <v>36.99</v>
      </c>
      <c r="F7" s="8" t="s">
        <v>922</v>
      </c>
      <c r="G7" s="13" t="s">
        <v>76</v>
      </c>
      <c r="H7" s="19" t="s">
        <v>87</v>
      </c>
      <c r="I7" s="13" t="s">
        <v>11</v>
      </c>
      <c r="J7" s="13" t="s">
        <v>28</v>
      </c>
      <c r="K7" s="13" t="s">
        <v>29</v>
      </c>
      <c r="L7" s="13"/>
      <c r="M7" s="13"/>
      <c r="N7" s="20" t="str">
        <f>HYPERLINK("http://slimages.macys.com/is/image/MCY/18951400 ")</f>
        <v xml:space="preserve">http://slimages.macys.com/is/image/MCY/18951400 </v>
      </c>
    </row>
    <row r="8" spans="1:14" x14ac:dyDescent="0.25">
      <c r="A8" s="19" t="s">
        <v>1141</v>
      </c>
      <c r="B8" s="13" t="s">
        <v>1142</v>
      </c>
      <c r="C8" s="8">
        <v>1</v>
      </c>
      <c r="D8" s="9">
        <v>36.99</v>
      </c>
      <c r="E8" s="9">
        <v>36.99</v>
      </c>
      <c r="F8" s="8" t="s">
        <v>921</v>
      </c>
      <c r="G8" s="13" t="s">
        <v>488</v>
      </c>
      <c r="H8" s="19" t="s">
        <v>40</v>
      </c>
      <c r="I8" s="13" t="s">
        <v>11</v>
      </c>
      <c r="J8" s="13" t="s">
        <v>28</v>
      </c>
      <c r="K8" s="13" t="s">
        <v>29</v>
      </c>
      <c r="L8" s="13"/>
      <c r="M8" s="13"/>
      <c r="N8" s="20" t="str">
        <f>HYPERLINK("http://slimages.macys.com/is/image/MCY/20649753 ")</f>
        <v xml:space="preserve">http://slimages.macys.com/is/image/MCY/20649753 </v>
      </c>
    </row>
    <row r="9" spans="1:14" x14ac:dyDescent="0.25">
      <c r="A9" s="19" t="s">
        <v>1722</v>
      </c>
      <c r="B9" s="13" t="s">
        <v>1723</v>
      </c>
      <c r="C9" s="8">
        <v>1</v>
      </c>
      <c r="D9" s="9">
        <v>49.99</v>
      </c>
      <c r="E9" s="9">
        <v>49.99</v>
      </c>
      <c r="F9" s="8" t="s">
        <v>908</v>
      </c>
      <c r="G9" s="13" t="s">
        <v>488</v>
      </c>
      <c r="H9" s="19" t="s">
        <v>32</v>
      </c>
      <c r="I9" s="13" t="s">
        <v>11</v>
      </c>
      <c r="J9" s="13" t="s">
        <v>28</v>
      </c>
      <c r="K9" s="13" t="s">
        <v>29</v>
      </c>
      <c r="L9" s="13"/>
      <c r="M9" s="13"/>
      <c r="N9" s="20" t="str">
        <f t="shared" ref="N9:N14" si="0">HYPERLINK("http://slimages.macys.com/is/image/MCY/19339137 ")</f>
        <v xml:space="preserve">http://slimages.macys.com/is/image/MCY/19339137 </v>
      </c>
    </row>
    <row r="10" spans="1:14" x14ac:dyDescent="0.25">
      <c r="A10" s="19" t="s">
        <v>2986</v>
      </c>
      <c r="B10" s="13" t="s">
        <v>2987</v>
      </c>
      <c r="C10" s="8">
        <v>2</v>
      </c>
      <c r="D10" s="9">
        <v>49.99</v>
      </c>
      <c r="E10" s="9">
        <v>99.98</v>
      </c>
      <c r="F10" s="8" t="s">
        <v>908</v>
      </c>
      <c r="G10" s="13" t="s">
        <v>488</v>
      </c>
      <c r="H10" s="19" t="s">
        <v>40</v>
      </c>
      <c r="I10" s="13" t="s">
        <v>11</v>
      </c>
      <c r="J10" s="13" t="s">
        <v>28</v>
      </c>
      <c r="K10" s="13" t="s">
        <v>29</v>
      </c>
      <c r="L10" s="13"/>
      <c r="M10" s="13"/>
      <c r="N10" s="20" t="str">
        <f t="shared" si="0"/>
        <v xml:space="preserve">http://slimages.macys.com/is/image/MCY/19339137 </v>
      </c>
    </row>
    <row r="11" spans="1:14" x14ac:dyDescent="0.25">
      <c r="A11" s="19" t="s">
        <v>1137</v>
      </c>
      <c r="B11" s="13" t="s">
        <v>1138</v>
      </c>
      <c r="C11" s="8">
        <v>1</v>
      </c>
      <c r="D11" s="9">
        <v>49.99</v>
      </c>
      <c r="E11" s="9">
        <v>49.99</v>
      </c>
      <c r="F11" s="8" t="s">
        <v>908</v>
      </c>
      <c r="G11" s="13" t="s">
        <v>488</v>
      </c>
      <c r="H11" s="19" t="s">
        <v>55</v>
      </c>
      <c r="I11" s="13" t="s">
        <v>11</v>
      </c>
      <c r="J11" s="13" t="s">
        <v>28</v>
      </c>
      <c r="K11" s="13" t="s">
        <v>29</v>
      </c>
      <c r="L11" s="13"/>
      <c r="M11" s="13"/>
      <c r="N11" s="20" t="str">
        <f t="shared" si="0"/>
        <v xml:space="preserve">http://slimages.macys.com/is/image/MCY/19339137 </v>
      </c>
    </row>
    <row r="12" spans="1:14" x14ac:dyDescent="0.25">
      <c r="A12" s="19" t="s">
        <v>2988</v>
      </c>
      <c r="B12" s="13" t="s">
        <v>2989</v>
      </c>
      <c r="C12" s="8">
        <v>1</v>
      </c>
      <c r="D12" s="9">
        <v>49.99</v>
      </c>
      <c r="E12" s="9">
        <v>49.99</v>
      </c>
      <c r="F12" s="8" t="s">
        <v>908</v>
      </c>
      <c r="G12" s="13" t="s">
        <v>488</v>
      </c>
      <c r="H12" s="19" t="s">
        <v>27</v>
      </c>
      <c r="I12" s="13" t="s">
        <v>11</v>
      </c>
      <c r="J12" s="13" t="s">
        <v>28</v>
      </c>
      <c r="K12" s="13" t="s">
        <v>29</v>
      </c>
      <c r="L12" s="13"/>
      <c r="M12" s="13"/>
      <c r="N12" s="20" t="str">
        <f t="shared" si="0"/>
        <v xml:space="preserve">http://slimages.macys.com/is/image/MCY/19339137 </v>
      </c>
    </row>
    <row r="13" spans="1:14" x14ac:dyDescent="0.25">
      <c r="A13" s="19" t="s">
        <v>906</v>
      </c>
      <c r="B13" s="13" t="s">
        <v>907</v>
      </c>
      <c r="C13" s="8">
        <v>1</v>
      </c>
      <c r="D13" s="9">
        <v>49.99</v>
      </c>
      <c r="E13" s="9">
        <v>49.99</v>
      </c>
      <c r="F13" s="8" t="s">
        <v>908</v>
      </c>
      <c r="G13" s="13" t="s">
        <v>488</v>
      </c>
      <c r="H13" s="19" t="s">
        <v>87</v>
      </c>
      <c r="I13" s="13" t="s">
        <v>11</v>
      </c>
      <c r="J13" s="13" t="s">
        <v>28</v>
      </c>
      <c r="K13" s="13" t="s">
        <v>29</v>
      </c>
      <c r="L13" s="13"/>
      <c r="M13" s="13"/>
      <c r="N13" s="20" t="str">
        <f t="shared" si="0"/>
        <v xml:space="preserve">http://slimages.macys.com/is/image/MCY/19339137 </v>
      </c>
    </row>
    <row r="14" spans="1:14" x14ac:dyDescent="0.25">
      <c r="A14" s="19" t="s">
        <v>1852</v>
      </c>
      <c r="B14" s="13" t="s">
        <v>1853</v>
      </c>
      <c r="C14" s="8">
        <v>1</v>
      </c>
      <c r="D14" s="9">
        <v>49.99</v>
      </c>
      <c r="E14" s="9">
        <v>49.99</v>
      </c>
      <c r="F14" s="8" t="s">
        <v>908</v>
      </c>
      <c r="G14" s="13" t="s">
        <v>127</v>
      </c>
      <c r="H14" s="19" t="s">
        <v>87</v>
      </c>
      <c r="I14" s="13" t="s">
        <v>11</v>
      </c>
      <c r="J14" s="13" t="s">
        <v>28</v>
      </c>
      <c r="K14" s="13" t="s">
        <v>29</v>
      </c>
      <c r="L14" s="13"/>
      <c r="M14" s="13"/>
      <c r="N14" s="20" t="str">
        <f t="shared" si="0"/>
        <v xml:space="preserve">http://slimages.macys.com/is/image/MCY/19339137 </v>
      </c>
    </row>
    <row r="15" spans="1:14" x14ac:dyDescent="0.25">
      <c r="A15" s="19" t="s">
        <v>2990</v>
      </c>
      <c r="B15" s="13" t="s">
        <v>2991</v>
      </c>
      <c r="C15" s="8">
        <v>1</v>
      </c>
      <c r="D15" s="9">
        <v>36.99</v>
      </c>
      <c r="E15" s="9">
        <v>36.99</v>
      </c>
      <c r="F15" s="8" t="s">
        <v>101</v>
      </c>
      <c r="G15" s="13" t="s">
        <v>102</v>
      </c>
      <c r="H15" s="19" t="s">
        <v>87</v>
      </c>
      <c r="I15" s="13" t="s">
        <v>11</v>
      </c>
      <c r="J15" s="13" t="s">
        <v>28</v>
      </c>
      <c r="K15" s="13" t="s">
        <v>29</v>
      </c>
      <c r="L15" s="13"/>
      <c r="M15" s="13"/>
      <c r="N15" s="20" t="str">
        <f>HYPERLINK("http://slimages.macys.com/is/image/MCY/17593236 ")</f>
        <v xml:space="preserve">http://slimages.macys.com/is/image/MCY/17593236 </v>
      </c>
    </row>
    <row r="16" spans="1:14" x14ac:dyDescent="0.25">
      <c r="A16" s="19" t="s">
        <v>1150</v>
      </c>
      <c r="B16" s="13" t="s">
        <v>1151</v>
      </c>
      <c r="C16" s="8">
        <v>1</v>
      </c>
      <c r="D16" s="9">
        <v>26.99</v>
      </c>
      <c r="E16" s="9">
        <v>26.99</v>
      </c>
      <c r="F16" s="8" t="s">
        <v>1149</v>
      </c>
      <c r="G16" s="13" t="s">
        <v>86</v>
      </c>
      <c r="H16" s="19" t="s">
        <v>32</v>
      </c>
      <c r="I16" s="13" t="s">
        <v>11</v>
      </c>
      <c r="J16" s="13" t="s">
        <v>28</v>
      </c>
      <c r="K16" s="13" t="s">
        <v>29</v>
      </c>
      <c r="L16" s="13"/>
      <c r="M16" s="13"/>
      <c r="N16" s="20" t="str">
        <f>HYPERLINK("http://slimages.macys.com/is/image/MCY/19036015 ")</f>
        <v xml:space="preserve">http://slimages.macys.com/is/image/MCY/19036015 </v>
      </c>
    </row>
    <row r="17" spans="1:14" x14ac:dyDescent="0.25">
      <c r="A17" s="19" t="s">
        <v>2997</v>
      </c>
      <c r="B17" s="13" t="s">
        <v>2998</v>
      </c>
      <c r="C17" s="8">
        <v>1</v>
      </c>
      <c r="D17" s="9">
        <v>24.99</v>
      </c>
      <c r="E17" s="9">
        <v>24.99</v>
      </c>
      <c r="F17" s="8" t="s">
        <v>2999</v>
      </c>
      <c r="G17" s="13" t="s">
        <v>31</v>
      </c>
      <c r="H17" s="19"/>
      <c r="I17" s="13" t="s">
        <v>11</v>
      </c>
      <c r="J17" s="13" t="s">
        <v>28</v>
      </c>
      <c r="K17" s="13" t="s">
        <v>3000</v>
      </c>
      <c r="L17" s="13" t="s">
        <v>111</v>
      </c>
      <c r="M17" s="13" t="s">
        <v>303</v>
      </c>
      <c r="N17" s="20" t="str">
        <f>HYPERLINK("http://slimages.macys.com/is/image/MCY/11277682 ")</f>
        <v xml:space="preserve">http://slimages.macys.com/is/image/MCY/11277682 </v>
      </c>
    </row>
    <row r="18" spans="1:14" x14ac:dyDescent="0.25">
      <c r="A18" s="19" t="s">
        <v>915</v>
      </c>
      <c r="B18" s="13" t="s">
        <v>916</v>
      </c>
      <c r="C18" s="8">
        <v>1</v>
      </c>
      <c r="D18" s="9">
        <v>34.99</v>
      </c>
      <c r="E18" s="9">
        <v>34.99</v>
      </c>
      <c r="F18" s="8" t="s">
        <v>98</v>
      </c>
      <c r="G18" s="13" t="s">
        <v>120</v>
      </c>
      <c r="H18" s="19" t="s">
        <v>32</v>
      </c>
      <c r="I18" s="13" t="s">
        <v>11</v>
      </c>
      <c r="J18" s="13" t="s">
        <v>28</v>
      </c>
      <c r="K18" s="13" t="s">
        <v>29</v>
      </c>
      <c r="L18" s="13"/>
      <c r="M18" s="13"/>
      <c r="N18" s="20" t="str">
        <f>HYPERLINK("http://slimages.macys.com/is/image/MCY/19339149 ")</f>
        <v xml:space="preserve">http://slimages.macys.com/is/image/MCY/19339149 </v>
      </c>
    </row>
    <row r="19" spans="1:14" x14ac:dyDescent="0.25">
      <c r="A19" s="19" t="s">
        <v>909</v>
      </c>
      <c r="B19" s="13" t="s">
        <v>910</v>
      </c>
      <c r="C19" s="8">
        <v>1</v>
      </c>
      <c r="D19" s="9">
        <v>34.99</v>
      </c>
      <c r="E19" s="9">
        <v>34.99</v>
      </c>
      <c r="F19" s="8" t="s">
        <v>98</v>
      </c>
      <c r="G19" s="13" t="s">
        <v>120</v>
      </c>
      <c r="H19" s="19" t="s">
        <v>55</v>
      </c>
      <c r="I19" s="13" t="s">
        <v>11</v>
      </c>
      <c r="J19" s="13" t="s">
        <v>28</v>
      </c>
      <c r="K19" s="13" t="s">
        <v>29</v>
      </c>
      <c r="L19" s="13"/>
      <c r="M19" s="13"/>
      <c r="N19" s="20" t="str">
        <f>HYPERLINK("http://slimages.macys.com/is/image/MCY/19339149 ")</f>
        <v xml:space="preserve">http://slimages.macys.com/is/image/MCY/19339149 </v>
      </c>
    </row>
    <row r="20" spans="1:14" x14ac:dyDescent="0.25">
      <c r="A20" s="19" t="s">
        <v>913</v>
      </c>
      <c r="B20" s="13" t="s">
        <v>914</v>
      </c>
      <c r="C20" s="8">
        <v>1</v>
      </c>
      <c r="D20" s="9">
        <v>34.99</v>
      </c>
      <c r="E20" s="9">
        <v>34.99</v>
      </c>
      <c r="F20" s="8" t="s">
        <v>98</v>
      </c>
      <c r="G20" s="13" t="s">
        <v>120</v>
      </c>
      <c r="H20" s="19" t="s">
        <v>27</v>
      </c>
      <c r="I20" s="13" t="s">
        <v>11</v>
      </c>
      <c r="J20" s="13" t="s">
        <v>28</v>
      </c>
      <c r="K20" s="13" t="s">
        <v>29</v>
      </c>
      <c r="L20" s="13"/>
      <c r="M20" s="13"/>
      <c r="N20" s="20" t="str">
        <f>HYPERLINK("http://slimages.macys.com/is/image/MCY/19339149 ")</f>
        <v xml:space="preserve">http://slimages.macys.com/is/image/MCY/19339149 </v>
      </c>
    </row>
    <row r="21" spans="1:14" x14ac:dyDescent="0.25">
      <c r="A21" s="19" t="s">
        <v>91</v>
      </c>
      <c r="B21" s="13" t="s">
        <v>92</v>
      </c>
      <c r="C21" s="8">
        <v>1</v>
      </c>
      <c r="D21" s="9">
        <v>34.99</v>
      </c>
      <c r="E21" s="9">
        <v>34.99</v>
      </c>
      <c r="F21" s="8" t="s">
        <v>90</v>
      </c>
      <c r="G21" s="13" t="s">
        <v>44</v>
      </c>
      <c r="H21" s="19" t="s">
        <v>27</v>
      </c>
      <c r="I21" s="13" t="s">
        <v>11</v>
      </c>
      <c r="J21" s="13" t="s">
        <v>28</v>
      </c>
      <c r="K21" s="13" t="s">
        <v>29</v>
      </c>
      <c r="L21" s="13"/>
      <c r="M21" s="13"/>
      <c r="N21" s="20" t="str">
        <f>HYPERLINK("http://slimages.macys.com/is/image/MCY/19339149 ")</f>
        <v xml:space="preserve">http://slimages.macys.com/is/image/MCY/19339149 </v>
      </c>
    </row>
    <row r="22" spans="1:14" x14ac:dyDescent="0.25">
      <c r="A22" s="19" t="s">
        <v>1857</v>
      </c>
      <c r="B22" s="13" t="s">
        <v>1858</v>
      </c>
      <c r="C22" s="8">
        <v>1</v>
      </c>
      <c r="D22" s="9">
        <v>34.99</v>
      </c>
      <c r="E22" s="9">
        <v>34.99</v>
      </c>
      <c r="F22" s="8" t="s">
        <v>90</v>
      </c>
      <c r="G22" s="13" t="s">
        <v>44</v>
      </c>
      <c r="H22" s="19" t="s">
        <v>47</v>
      </c>
      <c r="I22" s="13" t="s">
        <v>11</v>
      </c>
      <c r="J22" s="13" t="s">
        <v>28</v>
      </c>
      <c r="K22" s="13" t="s">
        <v>29</v>
      </c>
      <c r="L22" s="13"/>
      <c r="M22" s="13"/>
      <c r="N22" s="20" t="str">
        <f>HYPERLINK("http://slimages.macys.com/is/image/MCY/19339149 ")</f>
        <v xml:space="preserve">http://slimages.macys.com/is/image/MCY/19339149 </v>
      </c>
    </row>
    <row r="23" spans="1:14" x14ac:dyDescent="0.25">
      <c r="A23" s="19" t="s">
        <v>577</v>
      </c>
      <c r="B23" s="13" t="s">
        <v>578</v>
      </c>
      <c r="C23" s="8">
        <v>1</v>
      </c>
      <c r="D23" s="9">
        <v>39.99</v>
      </c>
      <c r="E23" s="9">
        <v>39.99</v>
      </c>
      <c r="F23" s="8" t="s">
        <v>576</v>
      </c>
      <c r="G23" s="13" t="s">
        <v>57</v>
      </c>
      <c r="H23" s="19" t="s">
        <v>87</v>
      </c>
      <c r="I23" s="13" t="s">
        <v>11</v>
      </c>
      <c r="J23" s="13" t="s">
        <v>28</v>
      </c>
      <c r="K23" s="13" t="s">
        <v>29</v>
      </c>
      <c r="L23" s="13"/>
      <c r="M23" s="13"/>
      <c r="N23" s="20" t="str">
        <f>HYPERLINK("http://slimages.macys.com/is/image/MCY/20052118 ")</f>
        <v xml:space="preserve">http://slimages.macys.com/is/image/MCY/20052118 </v>
      </c>
    </row>
    <row r="24" spans="1:14" x14ac:dyDescent="0.25">
      <c r="A24" s="19" t="s">
        <v>1832</v>
      </c>
      <c r="B24" s="13" t="s">
        <v>1833</v>
      </c>
      <c r="C24" s="8">
        <v>2</v>
      </c>
      <c r="D24" s="9">
        <v>39.99</v>
      </c>
      <c r="E24" s="9">
        <v>79.98</v>
      </c>
      <c r="F24" s="8" t="s">
        <v>1128</v>
      </c>
      <c r="G24" s="13" t="s">
        <v>44</v>
      </c>
      <c r="H24" s="19" t="s">
        <v>32</v>
      </c>
      <c r="I24" s="13" t="s">
        <v>11</v>
      </c>
      <c r="J24" s="13" t="s">
        <v>28</v>
      </c>
      <c r="K24" s="13" t="s">
        <v>29</v>
      </c>
      <c r="L24" s="13"/>
      <c r="M24" s="13"/>
      <c r="N24" s="20" t="str">
        <f>HYPERLINK("http://slimages.macys.com/is/image/MCY/20052118 ")</f>
        <v xml:space="preserve">http://slimages.macys.com/is/image/MCY/20052118 </v>
      </c>
    </row>
    <row r="25" spans="1:14" x14ac:dyDescent="0.25">
      <c r="A25" s="19" t="s">
        <v>1828</v>
      </c>
      <c r="B25" s="13" t="s">
        <v>1829</v>
      </c>
      <c r="C25" s="8">
        <v>1</v>
      </c>
      <c r="D25" s="9">
        <v>39.99</v>
      </c>
      <c r="E25" s="9">
        <v>39.99</v>
      </c>
      <c r="F25" s="8" t="s">
        <v>1128</v>
      </c>
      <c r="G25" s="13" t="s">
        <v>44</v>
      </c>
      <c r="H25" s="19" t="s">
        <v>87</v>
      </c>
      <c r="I25" s="13" t="s">
        <v>11</v>
      </c>
      <c r="J25" s="13" t="s">
        <v>28</v>
      </c>
      <c r="K25" s="13" t="s">
        <v>29</v>
      </c>
      <c r="L25" s="13"/>
      <c r="M25" s="13"/>
      <c r="N25" s="20" t="str">
        <f>HYPERLINK("http://slimages.macys.com/is/image/MCY/20052118 ")</f>
        <v xml:space="preserve">http://slimages.macys.com/is/image/MCY/20052118 </v>
      </c>
    </row>
    <row r="26" spans="1:14" x14ac:dyDescent="0.25">
      <c r="A26" s="19" t="s">
        <v>1131</v>
      </c>
      <c r="B26" s="13" t="s">
        <v>1132</v>
      </c>
      <c r="C26" s="8">
        <v>1</v>
      </c>
      <c r="D26" s="9">
        <v>25.99</v>
      </c>
      <c r="E26" s="9">
        <v>25.99</v>
      </c>
      <c r="F26" s="8" t="s">
        <v>71</v>
      </c>
      <c r="G26" s="13" t="s">
        <v>31</v>
      </c>
      <c r="H26" s="19" t="s">
        <v>40</v>
      </c>
      <c r="I26" s="13" t="s">
        <v>11</v>
      </c>
      <c r="J26" s="13" t="s">
        <v>28</v>
      </c>
      <c r="K26" s="13" t="s">
        <v>29</v>
      </c>
      <c r="L26" s="13"/>
      <c r="M26" s="13"/>
      <c r="N26" s="20" t="str">
        <f>HYPERLINK("http://slimages.macys.com/is/image/MCY/18574734 ")</f>
        <v xml:space="preserve">http://slimages.macys.com/is/image/MCY/18574734 </v>
      </c>
    </row>
    <row r="27" spans="1:14" x14ac:dyDescent="0.25">
      <c r="A27" s="19" t="s">
        <v>1834</v>
      </c>
      <c r="B27" s="13" t="s">
        <v>1835</v>
      </c>
      <c r="C27" s="8">
        <v>1</v>
      </c>
      <c r="D27" s="9">
        <v>25.99</v>
      </c>
      <c r="E27" s="9">
        <v>25.99</v>
      </c>
      <c r="F27" s="8" t="s">
        <v>71</v>
      </c>
      <c r="G27" s="13" t="s">
        <v>76</v>
      </c>
      <c r="H27" s="19" t="s">
        <v>32</v>
      </c>
      <c r="I27" s="13" t="s">
        <v>11</v>
      </c>
      <c r="J27" s="13" t="s">
        <v>28</v>
      </c>
      <c r="K27" s="13" t="s">
        <v>29</v>
      </c>
      <c r="L27" s="13"/>
      <c r="M27" s="13"/>
      <c r="N27" s="20" t="str">
        <f>HYPERLINK("http://slimages.macys.com/is/image/MCY/18574734 ")</f>
        <v xml:space="preserve">http://slimages.macys.com/is/image/MCY/18574734 </v>
      </c>
    </row>
    <row r="28" spans="1:14" x14ac:dyDescent="0.25">
      <c r="A28" s="19" t="s">
        <v>3001</v>
      </c>
      <c r="B28" s="13" t="s">
        <v>3002</v>
      </c>
      <c r="C28" s="8">
        <v>1</v>
      </c>
      <c r="D28" s="9">
        <v>35.200000000000003</v>
      </c>
      <c r="E28" s="9">
        <v>35.200000000000003</v>
      </c>
      <c r="F28" s="8">
        <v>6543</v>
      </c>
      <c r="G28" s="13" t="s">
        <v>76</v>
      </c>
      <c r="H28" s="19" t="s">
        <v>536</v>
      </c>
      <c r="I28" s="13" t="s">
        <v>11</v>
      </c>
      <c r="J28" s="13" t="s">
        <v>109</v>
      </c>
      <c r="K28" s="13" t="s">
        <v>110</v>
      </c>
      <c r="L28" s="13" t="s">
        <v>111</v>
      </c>
      <c r="M28" s="13" t="s">
        <v>113</v>
      </c>
      <c r="N28" s="20" t="str">
        <f>HYPERLINK("http://slimages.macys.com/is/image/MCY/3142700 ")</f>
        <v xml:space="preserve">http://slimages.macys.com/is/image/MCY/3142700 </v>
      </c>
    </row>
    <row r="29" spans="1:14" x14ac:dyDescent="0.25">
      <c r="A29" s="19" t="s">
        <v>2661</v>
      </c>
      <c r="B29" s="13" t="s">
        <v>2662</v>
      </c>
      <c r="C29" s="8">
        <v>1</v>
      </c>
      <c r="D29" s="9">
        <v>9.3000000000000007</v>
      </c>
      <c r="E29" s="9">
        <v>9.3000000000000007</v>
      </c>
      <c r="F29" s="8" t="s">
        <v>1706</v>
      </c>
      <c r="G29" s="13" t="s">
        <v>31</v>
      </c>
      <c r="H29" s="19" t="s">
        <v>1707</v>
      </c>
      <c r="I29" s="13" t="s">
        <v>11</v>
      </c>
      <c r="J29" s="13" t="s">
        <v>412</v>
      </c>
      <c r="K29" s="13" t="s">
        <v>110</v>
      </c>
      <c r="L29" s="13" t="s">
        <v>111</v>
      </c>
      <c r="M29" s="13" t="s">
        <v>113</v>
      </c>
      <c r="N29" s="20" t="str">
        <f>HYPERLINK("http://slimages.macys.com/is/image/MCY/1199108 ")</f>
        <v xml:space="preserve">http://slimages.macys.com/is/image/MCY/1199108 </v>
      </c>
    </row>
    <row r="30" spans="1:14" x14ac:dyDescent="0.25">
      <c r="A30" s="19" t="s">
        <v>419</v>
      </c>
      <c r="B30" s="13" t="s">
        <v>420</v>
      </c>
      <c r="C30" s="8">
        <v>1</v>
      </c>
      <c r="D30" s="9">
        <v>9.33</v>
      </c>
      <c r="E30" s="9">
        <v>9.33</v>
      </c>
      <c r="F30" s="8" t="s">
        <v>421</v>
      </c>
      <c r="G30" s="13" t="s">
        <v>82</v>
      </c>
      <c r="H30" s="19" t="s">
        <v>422</v>
      </c>
      <c r="I30" s="13" t="s">
        <v>11</v>
      </c>
      <c r="J30" s="13" t="s">
        <v>412</v>
      </c>
      <c r="K30" s="13" t="s">
        <v>110</v>
      </c>
      <c r="L30" s="13" t="s">
        <v>111</v>
      </c>
      <c r="M30" s="13" t="s">
        <v>423</v>
      </c>
      <c r="N30" s="20" t="str">
        <f>HYPERLINK("http://slimages.macys.com/is/image/MCY/8571583 ")</f>
        <v xml:space="preserve">http://slimages.macys.com/is/image/MCY/8571583 </v>
      </c>
    </row>
    <row r="31" spans="1:14" x14ac:dyDescent="0.25">
      <c r="A31" s="19" t="s">
        <v>3277</v>
      </c>
      <c r="B31" s="13" t="s">
        <v>3278</v>
      </c>
      <c r="C31" s="8">
        <v>1</v>
      </c>
      <c r="D31" s="9">
        <v>22.5</v>
      </c>
      <c r="E31" s="9">
        <v>22.5</v>
      </c>
      <c r="F31" s="8" t="s">
        <v>3279</v>
      </c>
      <c r="G31" s="13" t="s">
        <v>559</v>
      </c>
      <c r="H31" s="19" t="s">
        <v>3280</v>
      </c>
      <c r="I31" s="13" t="s">
        <v>11</v>
      </c>
      <c r="J31" s="13" t="s">
        <v>539</v>
      </c>
      <c r="K31" s="13" t="s">
        <v>560</v>
      </c>
      <c r="L31" s="13"/>
      <c r="M31" s="13"/>
      <c r="N31" s="20" t="str">
        <f>HYPERLINK("http://slimages.macys.com/is/image/MCY/19963659 ")</f>
        <v xml:space="preserve">http://slimages.macys.com/is/image/MCY/19963659 </v>
      </c>
    </row>
    <row r="32" spans="1:14" x14ac:dyDescent="0.25">
      <c r="A32" s="19" t="s">
        <v>3281</v>
      </c>
      <c r="B32" s="13" t="s">
        <v>3282</v>
      </c>
      <c r="C32" s="8">
        <v>1</v>
      </c>
      <c r="D32" s="9">
        <v>22.5</v>
      </c>
      <c r="E32" s="9">
        <v>22.5</v>
      </c>
      <c r="F32" s="8" t="s">
        <v>3283</v>
      </c>
      <c r="G32" s="13" t="s">
        <v>559</v>
      </c>
      <c r="H32" s="19"/>
      <c r="I32" s="13" t="s">
        <v>11</v>
      </c>
      <c r="J32" s="13" t="s">
        <v>539</v>
      </c>
      <c r="K32" s="13" t="s">
        <v>560</v>
      </c>
      <c r="L32" s="13"/>
      <c r="M32" s="13"/>
      <c r="N32" s="20" t="str">
        <f>HYPERLINK("http://slimages.macys.com/is/image/MCY/19859268 ")</f>
        <v xml:space="preserve">http://slimages.macys.com/is/image/MCY/19859268 </v>
      </c>
    </row>
    <row r="33" spans="1:14" x14ac:dyDescent="0.25">
      <c r="A33" s="19" t="s">
        <v>3048</v>
      </c>
      <c r="B33" s="13" t="s">
        <v>3049</v>
      </c>
      <c r="C33" s="8">
        <v>1</v>
      </c>
      <c r="D33" s="9">
        <v>29.5</v>
      </c>
      <c r="E33" s="9">
        <v>29.5</v>
      </c>
      <c r="F33" s="8" t="s">
        <v>175</v>
      </c>
      <c r="G33" s="13" t="s">
        <v>31</v>
      </c>
      <c r="H33" s="19" t="s">
        <v>40</v>
      </c>
      <c r="I33" s="13" t="s">
        <v>11</v>
      </c>
      <c r="J33" s="13" t="s">
        <v>142</v>
      </c>
      <c r="K33" s="13" t="s">
        <v>143</v>
      </c>
      <c r="L33" s="13"/>
      <c r="M33" s="13"/>
      <c r="N33" s="20" t="str">
        <f>HYPERLINK("http://slimages.macys.com/is/image/MCY/19975469 ")</f>
        <v xml:space="preserve">http://slimages.macys.com/is/image/MCY/19975469 </v>
      </c>
    </row>
    <row r="34" spans="1:14" x14ac:dyDescent="0.25">
      <c r="A34" s="19" t="s">
        <v>2265</v>
      </c>
      <c r="B34" s="13" t="s">
        <v>2266</v>
      </c>
      <c r="C34" s="8">
        <v>1</v>
      </c>
      <c r="D34" s="9">
        <v>29.5</v>
      </c>
      <c r="E34" s="9">
        <v>29.5</v>
      </c>
      <c r="F34" s="8" t="s">
        <v>175</v>
      </c>
      <c r="G34" s="13" t="s">
        <v>122</v>
      </c>
      <c r="H34" s="19" t="s">
        <v>40</v>
      </c>
      <c r="I34" s="13" t="s">
        <v>11</v>
      </c>
      <c r="J34" s="13" t="s">
        <v>142</v>
      </c>
      <c r="K34" s="13" t="s">
        <v>143</v>
      </c>
      <c r="L34" s="13"/>
      <c r="M34" s="13"/>
      <c r="N34" s="20" t="str">
        <f>HYPERLINK("http://slimages.macys.com/is/image/MCY/19975469 ")</f>
        <v xml:space="preserve">http://slimages.macys.com/is/image/MCY/19975469 </v>
      </c>
    </row>
    <row r="35" spans="1:14" x14ac:dyDescent="0.25">
      <c r="A35" s="19" t="s">
        <v>3061</v>
      </c>
      <c r="B35" s="13" t="s">
        <v>3062</v>
      </c>
      <c r="C35" s="8">
        <v>1</v>
      </c>
      <c r="D35" s="9">
        <v>11.67</v>
      </c>
      <c r="E35" s="9">
        <v>11.67</v>
      </c>
      <c r="F35" s="8" t="s">
        <v>187</v>
      </c>
      <c r="G35" s="13" t="s">
        <v>195</v>
      </c>
      <c r="H35" s="19" t="s">
        <v>32</v>
      </c>
      <c r="I35" s="13" t="s">
        <v>11</v>
      </c>
      <c r="J35" s="13" t="s">
        <v>142</v>
      </c>
      <c r="K35" s="13" t="s">
        <v>143</v>
      </c>
      <c r="L35" s="13" t="s">
        <v>111</v>
      </c>
      <c r="M35" s="13" t="s">
        <v>167</v>
      </c>
      <c r="N35" s="20" t="str">
        <f>HYPERLINK("http://slimages.macys.com/is/image/MCY/19149399 ")</f>
        <v xml:space="preserve">http://slimages.macys.com/is/image/MCY/19149399 </v>
      </c>
    </row>
    <row r="36" spans="1:14" x14ac:dyDescent="0.25">
      <c r="A36" s="19" t="s">
        <v>3028</v>
      </c>
      <c r="B36" s="13" t="s">
        <v>3029</v>
      </c>
      <c r="C36" s="8">
        <v>1</v>
      </c>
      <c r="D36" s="9">
        <v>52</v>
      </c>
      <c r="E36" s="9">
        <v>52</v>
      </c>
      <c r="F36" s="8" t="s">
        <v>3030</v>
      </c>
      <c r="G36" s="13" t="s">
        <v>127</v>
      </c>
      <c r="H36" s="19" t="s">
        <v>55</v>
      </c>
      <c r="I36" s="13" t="s">
        <v>11</v>
      </c>
      <c r="J36" s="13" t="s">
        <v>142</v>
      </c>
      <c r="K36" s="13" t="s">
        <v>143</v>
      </c>
      <c r="L36" s="13"/>
      <c r="M36" s="13"/>
      <c r="N36" s="20" t="str">
        <f>HYPERLINK("http://slimages.macys.com/is/image/MCY/18567108 ")</f>
        <v xml:space="preserve">http://slimages.macys.com/is/image/MCY/18567108 </v>
      </c>
    </row>
    <row r="37" spans="1:14" x14ac:dyDescent="0.25">
      <c r="A37" s="19" t="s">
        <v>3063</v>
      </c>
      <c r="B37" s="13" t="s">
        <v>3064</v>
      </c>
      <c r="C37" s="8">
        <v>1</v>
      </c>
      <c r="D37" s="9">
        <v>11.67</v>
      </c>
      <c r="E37" s="9">
        <v>11.67</v>
      </c>
      <c r="F37" s="8" t="s">
        <v>188</v>
      </c>
      <c r="G37" s="13" t="s">
        <v>44</v>
      </c>
      <c r="H37" s="19" t="s">
        <v>40</v>
      </c>
      <c r="I37" s="13" t="s">
        <v>11</v>
      </c>
      <c r="J37" s="13" t="s">
        <v>142</v>
      </c>
      <c r="K37" s="13" t="s">
        <v>143</v>
      </c>
      <c r="L37" s="13" t="s">
        <v>154</v>
      </c>
      <c r="M37" s="13" t="s">
        <v>216</v>
      </c>
      <c r="N37" s="20" t="str">
        <f>HYPERLINK("http://images.bloomingdales.com/is/image/BLM/8247805 ")</f>
        <v xml:space="preserve">http://images.bloomingdales.com/is/image/BLM/8247805 </v>
      </c>
    </row>
    <row r="38" spans="1:14" x14ac:dyDescent="0.25">
      <c r="A38" s="19" t="s">
        <v>3059</v>
      </c>
      <c r="B38" s="13" t="s">
        <v>3060</v>
      </c>
      <c r="C38" s="8">
        <v>2</v>
      </c>
      <c r="D38" s="9">
        <v>11.67</v>
      </c>
      <c r="E38" s="9">
        <v>23.34</v>
      </c>
      <c r="F38" s="8" t="s">
        <v>185</v>
      </c>
      <c r="G38" s="13" t="s">
        <v>83</v>
      </c>
      <c r="H38" s="19" t="s">
        <v>40</v>
      </c>
      <c r="I38" s="13" t="s">
        <v>11</v>
      </c>
      <c r="J38" s="13" t="s">
        <v>142</v>
      </c>
      <c r="K38" s="13" t="s">
        <v>143</v>
      </c>
      <c r="L38" s="13" t="s">
        <v>111</v>
      </c>
      <c r="M38" s="13" t="s">
        <v>186</v>
      </c>
      <c r="N38" s="20" t="str">
        <f>HYPERLINK("http://slimages.macys.com/is/image/MCY/1734345 ")</f>
        <v xml:space="preserve">http://slimages.macys.com/is/image/MCY/1734345 </v>
      </c>
    </row>
    <row r="39" spans="1:14" x14ac:dyDescent="0.25">
      <c r="A39" s="19" t="s">
        <v>683</v>
      </c>
      <c r="B39" s="13" t="s">
        <v>684</v>
      </c>
      <c r="C39" s="8">
        <v>1</v>
      </c>
      <c r="D39" s="9">
        <v>44</v>
      </c>
      <c r="E39" s="9">
        <v>44</v>
      </c>
      <c r="F39" s="8" t="s">
        <v>680</v>
      </c>
      <c r="G39" s="13" t="s">
        <v>57</v>
      </c>
      <c r="H39" s="19" t="s">
        <v>55</v>
      </c>
      <c r="I39" s="13" t="s">
        <v>11</v>
      </c>
      <c r="J39" s="13" t="s">
        <v>142</v>
      </c>
      <c r="K39" s="13" t="s">
        <v>143</v>
      </c>
      <c r="L39" s="13"/>
      <c r="M39" s="13"/>
      <c r="N39" s="20" t="str">
        <f>HYPERLINK("http://slimages.macys.com/is/image/MCY/19977032 ")</f>
        <v xml:space="preserve">http://slimages.macys.com/is/image/MCY/19977032 </v>
      </c>
    </row>
    <row r="40" spans="1:14" x14ac:dyDescent="0.25">
      <c r="A40" s="19" t="s">
        <v>1674</v>
      </c>
      <c r="B40" s="13" t="s">
        <v>3058</v>
      </c>
      <c r="C40" s="8">
        <v>1</v>
      </c>
      <c r="D40" s="9">
        <v>11.67</v>
      </c>
      <c r="E40" s="9">
        <v>11.67</v>
      </c>
      <c r="F40" s="8" t="s">
        <v>191</v>
      </c>
      <c r="G40" s="13" t="s">
        <v>44</v>
      </c>
      <c r="H40" s="19" t="s">
        <v>47</v>
      </c>
      <c r="I40" s="13" t="s">
        <v>11</v>
      </c>
      <c r="J40" s="13" t="s">
        <v>142</v>
      </c>
      <c r="K40" s="13" t="s">
        <v>143</v>
      </c>
      <c r="L40" s="13" t="s">
        <v>154</v>
      </c>
      <c r="M40" s="13" t="s">
        <v>212</v>
      </c>
      <c r="N40" s="20" t="str">
        <f>HYPERLINK("http://images.bloomingdales.com/is/image/BLM/9412129 ")</f>
        <v xml:space="preserve">http://images.bloomingdales.com/is/image/BLM/9412129 </v>
      </c>
    </row>
    <row r="41" spans="1:14" x14ac:dyDescent="0.25">
      <c r="A41" s="19" t="s">
        <v>3065</v>
      </c>
      <c r="B41" s="13" t="s">
        <v>3066</v>
      </c>
      <c r="C41" s="8">
        <v>1</v>
      </c>
      <c r="D41" s="9">
        <v>11.67</v>
      </c>
      <c r="E41" s="9">
        <v>11.67</v>
      </c>
      <c r="F41" s="8" t="s">
        <v>193</v>
      </c>
      <c r="G41" s="13" t="s">
        <v>83</v>
      </c>
      <c r="H41" s="19" t="s">
        <v>55</v>
      </c>
      <c r="I41" s="13" t="s">
        <v>11</v>
      </c>
      <c r="J41" s="13" t="s">
        <v>142</v>
      </c>
      <c r="K41" s="13" t="s">
        <v>143</v>
      </c>
      <c r="L41" s="13" t="s">
        <v>111</v>
      </c>
      <c r="M41" s="13" t="s">
        <v>192</v>
      </c>
      <c r="N41" s="20" t="str">
        <f>HYPERLINK("http://slimages.macys.com/is/image/MCY/1734349 ")</f>
        <v xml:space="preserve">http://slimages.macys.com/is/image/MCY/1734349 </v>
      </c>
    </row>
    <row r="42" spans="1:14" x14ac:dyDescent="0.25">
      <c r="A42" s="19" t="s">
        <v>3031</v>
      </c>
      <c r="B42" s="13" t="s">
        <v>3032</v>
      </c>
      <c r="C42" s="8">
        <v>1</v>
      </c>
      <c r="D42" s="9">
        <v>42</v>
      </c>
      <c r="E42" s="9">
        <v>42</v>
      </c>
      <c r="F42" s="8" t="s">
        <v>145</v>
      </c>
      <c r="G42" s="13" t="s">
        <v>83</v>
      </c>
      <c r="H42" s="19" t="s">
        <v>27</v>
      </c>
      <c r="I42" s="13" t="s">
        <v>11</v>
      </c>
      <c r="J42" s="13" t="s">
        <v>142</v>
      </c>
      <c r="K42" s="13" t="s">
        <v>143</v>
      </c>
      <c r="L42" s="13"/>
      <c r="M42" s="13"/>
      <c r="N42" s="20" t="str">
        <f>HYPERLINK("http://slimages.macys.com/is/image/MCY/19148731 ")</f>
        <v xml:space="preserve">http://slimages.macys.com/is/image/MCY/19148731 </v>
      </c>
    </row>
    <row r="43" spans="1:14" x14ac:dyDescent="0.25">
      <c r="A43" s="19" t="s">
        <v>3043</v>
      </c>
      <c r="B43" s="13" t="s">
        <v>3044</v>
      </c>
      <c r="C43" s="8">
        <v>1</v>
      </c>
      <c r="D43" s="9">
        <v>38</v>
      </c>
      <c r="E43" s="9">
        <v>38</v>
      </c>
      <c r="F43" s="8" t="s">
        <v>3045</v>
      </c>
      <c r="G43" s="13" t="s">
        <v>31</v>
      </c>
      <c r="H43" s="19" t="s">
        <v>55</v>
      </c>
      <c r="I43" s="13" t="s">
        <v>11</v>
      </c>
      <c r="J43" s="13" t="s">
        <v>142</v>
      </c>
      <c r="K43" s="13" t="s">
        <v>143</v>
      </c>
      <c r="L43" s="13" t="s">
        <v>111</v>
      </c>
      <c r="M43" s="13" t="s">
        <v>118</v>
      </c>
      <c r="N43" s="20" t="str">
        <f>HYPERLINK("http://slimages.macys.com/is/image/MCY/10007215 ")</f>
        <v xml:space="preserve">http://slimages.macys.com/is/image/MCY/10007215 </v>
      </c>
    </row>
    <row r="44" spans="1:14" x14ac:dyDescent="0.25">
      <c r="A44" s="19" t="s">
        <v>3033</v>
      </c>
      <c r="B44" s="13" t="s">
        <v>3034</v>
      </c>
      <c r="C44" s="8">
        <v>1</v>
      </c>
      <c r="D44" s="9">
        <v>46</v>
      </c>
      <c r="E44" s="9">
        <v>46</v>
      </c>
      <c r="F44" s="8" t="s">
        <v>675</v>
      </c>
      <c r="G44" s="13" t="s">
        <v>201</v>
      </c>
      <c r="H44" s="19" t="s">
        <v>601</v>
      </c>
      <c r="I44" s="13" t="s">
        <v>11</v>
      </c>
      <c r="J44" s="13" t="s">
        <v>142</v>
      </c>
      <c r="K44" s="13" t="s">
        <v>143</v>
      </c>
      <c r="L44" s="13" t="s">
        <v>111</v>
      </c>
      <c r="M44" s="13" t="s">
        <v>676</v>
      </c>
      <c r="N44" s="20" t="str">
        <f>HYPERLINK("http://slimages.macys.com/is/image/MCY/10335890 ")</f>
        <v xml:space="preserve">http://slimages.macys.com/is/image/MCY/10335890 </v>
      </c>
    </row>
    <row r="45" spans="1:14" x14ac:dyDescent="0.25">
      <c r="A45" s="19" t="s">
        <v>3037</v>
      </c>
      <c r="B45" s="13" t="s">
        <v>3038</v>
      </c>
      <c r="C45" s="8">
        <v>4</v>
      </c>
      <c r="D45" s="9">
        <v>42</v>
      </c>
      <c r="E45" s="9">
        <v>168</v>
      </c>
      <c r="F45" s="8" t="s">
        <v>157</v>
      </c>
      <c r="G45" s="13" t="s">
        <v>83</v>
      </c>
      <c r="H45" s="19" t="s">
        <v>32</v>
      </c>
      <c r="I45" s="13" t="s">
        <v>11</v>
      </c>
      <c r="J45" s="13" t="s">
        <v>142</v>
      </c>
      <c r="K45" s="13" t="s">
        <v>143</v>
      </c>
      <c r="L45" s="13"/>
      <c r="M45" s="13"/>
      <c r="N45" s="20" t="str">
        <f>HYPERLINK("http://slimages.macys.com/is/image/MCY/19150867 ")</f>
        <v xml:space="preserve">http://slimages.macys.com/is/image/MCY/19150867 </v>
      </c>
    </row>
    <row r="46" spans="1:14" x14ac:dyDescent="0.25">
      <c r="A46" s="19" t="s">
        <v>687</v>
      </c>
      <c r="B46" s="13" t="s">
        <v>688</v>
      </c>
      <c r="C46" s="8">
        <v>5</v>
      </c>
      <c r="D46" s="9">
        <v>42</v>
      </c>
      <c r="E46" s="9">
        <v>210</v>
      </c>
      <c r="F46" s="8" t="s">
        <v>157</v>
      </c>
      <c r="G46" s="13" t="s">
        <v>83</v>
      </c>
      <c r="H46" s="19" t="s">
        <v>40</v>
      </c>
      <c r="I46" s="13" t="s">
        <v>11</v>
      </c>
      <c r="J46" s="13" t="s">
        <v>142</v>
      </c>
      <c r="K46" s="13" t="s">
        <v>143</v>
      </c>
      <c r="L46" s="13" t="s">
        <v>685</v>
      </c>
      <c r="M46" s="13" t="s">
        <v>686</v>
      </c>
      <c r="N46" s="20" t="str">
        <f>HYPERLINK("http://images.bloomingdales.com/is/image/BLM/11428040 ")</f>
        <v xml:space="preserve">http://images.bloomingdales.com/is/image/BLM/11428040 </v>
      </c>
    </row>
    <row r="47" spans="1:14" x14ac:dyDescent="0.25">
      <c r="A47" s="19" t="s">
        <v>161</v>
      </c>
      <c r="B47" s="13" t="s">
        <v>162</v>
      </c>
      <c r="C47" s="8">
        <v>5</v>
      </c>
      <c r="D47" s="9">
        <v>42</v>
      </c>
      <c r="E47" s="9">
        <v>210</v>
      </c>
      <c r="F47" s="8" t="s">
        <v>157</v>
      </c>
      <c r="G47" s="13" t="s">
        <v>83</v>
      </c>
      <c r="H47" s="19" t="s">
        <v>55</v>
      </c>
      <c r="I47" s="13" t="s">
        <v>11</v>
      </c>
      <c r="J47" s="13" t="s">
        <v>142</v>
      </c>
      <c r="K47" s="13" t="s">
        <v>143</v>
      </c>
      <c r="L47" s="13"/>
      <c r="M47" s="13"/>
      <c r="N47" s="20" t="str">
        <f>HYPERLINK("http://slimages.macys.com/is/image/MCY/19150867 ")</f>
        <v xml:space="preserve">http://slimages.macys.com/is/image/MCY/19150867 </v>
      </c>
    </row>
    <row r="48" spans="1:14" x14ac:dyDescent="0.25">
      <c r="A48" s="19" t="s">
        <v>3041</v>
      </c>
      <c r="B48" s="13" t="s">
        <v>3042</v>
      </c>
      <c r="C48" s="8">
        <v>1</v>
      </c>
      <c r="D48" s="9">
        <v>42</v>
      </c>
      <c r="E48" s="9">
        <v>42</v>
      </c>
      <c r="F48" s="8" t="s">
        <v>157</v>
      </c>
      <c r="G48" s="13" t="s">
        <v>83</v>
      </c>
      <c r="H48" s="19" t="s">
        <v>27</v>
      </c>
      <c r="I48" s="13" t="s">
        <v>11</v>
      </c>
      <c r="J48" s="13" t="s">
        <v>142</v>
      </c>
      <c r="K48" s="13" t="s">
        <v>143</v>
      </c>
      <c r="L48" s="13"/>
      <c r="M48" s="13"/>
      <c r="N48" s="20" t="str">
        <f>HYPERLINK("http://slimages.macys.com/is/image/MCY/19150867 ")</f>
        <v xml:space="preserve">http://slimages.macys.com/is/image/MCY/19150867 </v>
      </c>
    </row>
    <row r="49" spans="1:14" x14ac:dyDescent="0.25">
      <c r="A49" s="19" t="s">
        <v>3039</v>
      </c>
      <c r="B49" s="13" t="s">
        <v>3040</v>
      </c>
      <c r="C49" s="8">
        <v>1</v>
      </c>
      <c r="D49" s="9">
        <v>42</v>
      </c>
      <c r="E49" s="9">
        <v>42</v>
      </c>
      <c r="F49" s="8" t="s">
        <v>157</v>
      </c>
      <c r="G49" s="13" t="s">
        <v>83</v>
      </c>
      <c r="H49" s="19" t="s">
        <v>47</v>
      </c>
      <c r="I49" s="13" t="s">
        <v>11</v>
      </c>
      <c r="J49" s="13" t="s">
        <v>142</v>
      </c>
      <c r="K49" s="13" t="s">
        <v>143</v>
      </c>
      <c r="L49" s="13"/>
      <c r="M49" s="13"/>
      <c r="N49" s="20" t="str">
        <f>HYPERLINK("http://slimages.macys.com/is/image/MCY/19150867 ")</f>
        <v xml:space="preserve">http://slimages.macys.com/is/image/MCY/19150867 </v>
      </c>
    </row>
    <row r="50" spans="1:14" x14ac:dyDescent="0.25">
      <c r="A50" s="19" t="s">
        <v>3056</v>
      </c>
      <c r="B50" s="13" t="s">
        <v>3057</v>
      </c>
      <c r="C50" s="8">
        <v>1</v>
      </c>
      <c r="D50" s="9">
        <v>11.67</v>
      </c>
      <c r="E50" s="9">
        <v>11.67</v>
      </c>
      <c r="F50" s="8" t="s">
        <v>215</v>
      </c>
      <c r="G50" s="13" t="s">
        <v>85</v>
      </c>
      <c r="H50" s="19" t="s">
        <v>32</v>
      </c>
      <c r="I50" s="13" t="s">
        <v>11</v>
      </c>
      <c r="J50" s="13" t="s">
        <v>142</v>
      </c>
      <c r="K50" s="13" t="s">
        <v>143</v>
      </c>
      <c r="L50" s="13"/>
      <c r="M50" s="13"/>
      <c r="N50" s="20" t="str">
        <f>HYPERLINK("http://slimages.macys.com/is/image/MCY/20244393 ")</f>
        <v xml:space="preserve">http://slimages.macys.com/is/image/MCY/20244393 </v>
      </c>
    </row>
    <row r="51" spans="1:14" x14ac:dyDescent="0.25">
      <c r="A51" s="19" t="s">
        <v>2254</v>
      </c>
      <c r="B51" s="13" t="s">
        <v>2255</v>
      </c>
      <c r="C51" s="8">
        <v>1</v>
      </c>
      <c r="D51" s="9">
        <v>44</v>
      </c>
      <c r="E51" s="9">
        <v>44</v>
      </c>
      <c r="F51" s="8" t="s">
        <v>954</v>
      </c>
      <c r="G51" s="13" t="s">
        <v>83</v>
      </c>
      <c r="H51" s="19" t="s">
        <v>55</v>
      </c>
      <c r="I51" s="13" t="s">
        <v>11</v>
      </c>
      <c r="J51" s="13" t="s">
        <v>142</v>
      </c>
      <c r="K51" s="13" t="s">
        <v>143</v>
      </c>
      <c r="L51" s="13" t="s">
        <v>111</v>
      </c>
      <c r="M51" s="13" t="s">
        <v>118</v>
      </c>
      <c r="N51" s="20" t="str">
        <f>HYPERLINK("http://slimages.macys.com/is/image/MCY/15693627 ")</f>
        <v xml:space="preserve">http://slimages.macys.com/is/image/MCY/15693627 </v>
      </c>
    </row>
    <row r="52" spans="1:14" x14ac:dyDescent="0.25">
      <c r="A52" s="19" t="s">
        <v>3054</v>
      </c>
      <c r="B52" s="13" t="s">
        <v>3055</v>
      </c>
      <c r="C52" s="8">
        <v>1</v>
      </c>
      <c r="D52" s="9">
        <v>9.6</v>
      </c>
      <c r="E52" s="9">
        <v>9.6</v>
      </c>
      <c r="F52" s="8" t="s">
        <v>2279</v>
      </c>
      <c r="G52" s="13" t="s">
        <v>62</v>
      </c>
      <c r="H52" s="19" t="s">
        <v>32</v>
      </c>
      <c r="I52" s="13" t="s">
        <v>11</v>
      </c>
      <c r="J52" s="13" t="s">
        <v>142</v>
      </c>
      <c r="K52" s="13" t="s">
        <v>143</v>
      </c>
      <c r="L52" s="13" t="s">
        <v>154</v>
      </c>
      <c r="M52" s="13" t="s">
        <v>180</v>
      </c>
      <c r="N52" s="20" t="str">
        <f>HYPERLINK("http://images.bloomingdales.com/is/image/BLM/10810944 ")</f>
        <v xml:space="preserve">http://images.bloomingdales.com/is/image/BLM/10810944 </v>
      </c>
    </row>
    <row r="53" spans="1:14" x14ac:dyDescent="0.25">
      <c r="A53" s="19" t="s">
        <v>178</v>
      </c>
      <c r="B53" s="13" t="s">
        <v>179</v>
      </c>
      <c r="C53" s="8">
        <v>1</v>
      </c>
      <c r="D53" s="9">
        <v>28</v>
      </c>
      <c r="E53" s="9">
        <v>28</v>
      </c>
      <c r="F53" s="8" t="s">
        <v>176</v>
      </c>
      <c r="G53" s="13" t="s">
        <v>177</v>
      </c>
      <c r="H53" s="19" t="s">
        <v>55</v>
      </c>
      <c r="I53" s="13" t="s">
        <v>11</v>
      </c>
      <c r="J53" s="13" t="s">
        <v>142</v>
      </c>
      <c r="K53" s="13" t="s">
        <v>143</v>
      </c>
      <c r="L53" s="13"/>
      <c r="M53" s="13"/>
      <c r="N53" s="20" t="str">
        <f>HYPERLINK("http://slimages.macys.com/is/image/MCY/20242842 ")</f>
        <v xml:space="preserve">http://slimages.macys.com/is/image/MCY/20242842 </v>
      </c>
    </row>
    <row r="54" spans="1:14" x14ac:dyDescent="0.25">
      <c r="A54" s="19" t="s">
        <v>181</v>
      </c>
      <c r="B54" s="13" t="s">
        <v>182</v>
      </c>
      <c r="C54" s="8">
        <v>1</v>
      </c>
      <c r="D54" s="9">
        <v>28</v>
      </c>
      <c r="E54" s="9">
        <v>28</v>
      </c>
      <c r="F54" s="8" t="s">
        <v>176</v>
      </c>
      <c r="G54" s="13" t="s">
        <v>177</v>
      </c>
      <c r="H54" s="19" t="s">
        <v>47</v>
      </c>
      <c r="I54" s="13" t="s">
        <v>11</v>
      </c>
      <c r="J54" s="13" t="s">
        <v>142</v>
      </c>
      <c r="K54" s="13" t="s">
        <v>143</v>
      </c>
      <c r="L54" s="13"/>
      <c r="M54" s="13"/>
      <c r="N54" s="20" t="str">
        <f>HYPERLINK("http://slimages.macys.com/is/image/MCY/20242842 ")</f>
        <v xml:space="preserve">http://slimages.macys.com/is/image/MCY/20242842 </v>
      </c>
    </row>
    <row r="55" spans="1:14" x14ac:dyDescent="0.25">
      <c r="A55" s="19" t="s">
        <v>957</v>
      </c>
      <c r="B55" s="13" t="s">
        <v>958</v>
      </c>
      <c r="C55" s="8">
        <v>2</v>
      </c>
      <c r="D55" s="9">
        <v>11.67</v>
      </c>
      <c r="E55" s="9">
        <v>23.34</v>
      </c>
      <c r="F55" s="8" t="s">
        <v>213</v>
      </c>
      <c r="G55" s="13" t="s">
        <v>83</v>
      </c>
      <c r="H55" s="19" t="s">
        <v>184</v>
      </c>
      <c r="I55" s="13" t="s">
        <v>11</v>
      </c>
      <c r="J55" s="13" t="s">
        <v>142</v>
      </c>
      <c r="K55" s="13" t="s">
        <v>143</v>
      </c>
      <c r="L55" s="13"/>
      <c r="M55" s="13"/>
      <c r="N55" s="20" t="str">
        <f>HYPERLINK("http://slimages.macys.com/is/image/MCY/19069462 ")</f>
        <v xml:space="preserve">http://slimages.macys.com/is/image/MCY/19069462 </v>
      </c>
    </row>
    <row r="56" spans="1:14" x14ac:dyDescent="0.25">
      <c r="A56" s="19" t="s">
        <v>704</v>
      </c>
      <c r="B56" s="13" t="s">
        <v>705</v>
      </c>
      <c r="C56" s="8">
        <v>1</v>
      </c>
      <c r="D56" s="9">
        <v>28</v>
      </c>
      <c r="E56" s="9">
        <v>28</v>
      </c>
      <c r="F56" s="8" t="s">
        <v>694</v>
      </c>
      <c r="G56" s="13" t="s">
        <v>31</v>
      </c>
      <c r="H56" s="19" t="s">
        <v>40</v>
      </c>
      <c r="I56" s="13" t="s">
        <v>11</v>
      </c>
      <c r="J56" s="13" t="s">
        <v>142</v>
      </c>
      <c r="K56" s="13" t="s">
        <v>143</v>
      </c>
      <c r="L56" s="13"/>
      <c r="M56" s="13"/>
      <c r="N56" s="20" t="str">
        <f>HYPERLINK("http://slimages.macys.com/is/image/MCY/20780693 ")</f>
        <v xml:space="preserve">http://slimages.macys.com/is/image/MCY/20780693 </v>
      </c>
    </row>
    <row r="57" spans="1:14" x14ac:dyDescent="0.25">
      <c r="A57" s="19" t="s">
        <v>700</v>
      </c>
      <c r="B57" s="13" t="s">
        <v>701</v>
      </c>
      <c r="C57" s="8">
        <v>1</v>
      </c>
      <c r="D57" s="9">
        <v>28</v>
      </c>
      <c r="E57" s="9">
        <v>28</v>
      </c>
      <c r="F57" s="8" t="s">
        <v>694</v>
      </c>
      <c r="G57" s="13" t="s">
        <v>76</v>
      </c>
      <c r="H57" s="19" t="s">
        <v>55</v>
      </c>
      <c r="I57" s="13" t="s">
        <v>11</v>
      </c>
      <c r="J57" s="13" t="s">
        <v>142</v>
      </c>
      <c r="K57" s="13" t="s">
        <v>143</v>
      </c>
      <c r="L57" s="13"/>
      <c r="M57" s="13"/>
      <c r="N57" s="20" t="str">
        <f>HYPERLINK("http://slimages.macys.com/is/image/MCY/20780693 ")</f>
        <v xml:space="preserve">http://slimages.macys.com/is/image/MCY/20780693 </v>
      </c>
    </row>
    <row r="58" spans="1:14" x14ac:dyDescent="0.25">
      <c r="A58" s="19" t="s">
        <v>196</v>
      </c>
      <c r="B58" s="13" t="s">
        <v>197</v>
      </c>
      <c r="C58" s="8">
        <v>1</v>
      </c>
      <c r="D58" s="9">
        <v>11.67</v>
      </c>
      <c r="E58" s="9">
        <v>11.67</v>
      </c>
      <c r="F58" s="8" t="s">
        <v>198</v>
      </c>
      <c r="G58" s="13" t="s">
        <v>199</v>
      </c>
      <c r="H58" s="19" t="s">
        <v>40</v>
      </c>
      <c r="I58" s="13" t="s">
        <v>11</v>
      </c>
      <c r="J58" s="13" t="s">
        <v>142</v>
      </c>
      <c r="K58" s="13" t="s">
        <v>143</v>
      </c>
      <c r="L58" s="13"/>
      <c r="M58" s="13"/>
      <c r="N58" s="20" t="str">
        <f>HYPERLINK("http://slimages.macys.com/is/image/MCY/19425773 ")</f>
        <v xml:space="preserve">http://slimages.macys.com/is/image/MCY/19425773 </v>
      </c>
    </row>
    <row r="59" spans="1:14" x14ac:dyDescent="0.25">
      <c r="A59" s="19" t="s">
        <v>3052</v>
      </c>
      <c r="B59" s="13" t="s">
        <v>3053</v>
      </c>
      <c r="C59" s="8">
        <v>1</v>
      </c>
      <c r="D59" s="9">
        <v>20</v>
      </c>
      <c r="E59" s="9">
        <v>20</v>
      </c>
      <c r="F59" s="8" t="s">
        <v>2762</v>
      </c>
      <c r="G59" s="13" t="s">
        <v>44</v>
      </c>
      <c r="H59" s="19" t="s">
        <v>40</v>
      </c>
      <c r="I59" s="13" t="s">
        <v>11</v>
      </c>
      <c r="J59" s="13" t="s">
        <v>142</v>
      </c>
      <c r="K59" s="13" t="s">
        <v>143</v>
      </c>
      <c r="L59" s="13"/>
      <c r="M59" s="13"/>
      <c r="N59" s="20" t="str">
        <f>HYPERLINK("http://slimages.macys.com/is/image/MCY/19148756 ")</f>
        <v xml:space="preserve">http://slimages.macys.com/is/image/MCY/19148756 </v>
      </c>
    </row>
    <row r="60" spans="1:14" x14ac:dyDescent="0.25">
      <c r="A60" s="19" t="s">
        <v>3050</v>
      </c>
      <c r="B60" s="13" t="s">
        <v>3051</v>
      </c>
      <c r="C60" s="8">
        <v>1</v>
      </c>
      <c r="D60" s="9">
        <v>20</v>
      </c>
      <c r="E60" s="9">
        <v>20</v>
      </c>
      <c r="F60" s="8" t="s">
        <v>2762</v>
      </c>
      <c r="G60" s="13" t="s">
        <v>44</v>
      </c>
      <c r="H60" s="19" t="s">
        <v>27</v>
      </c>
      <c r="I60" s="13" t="s">
        <v>11</v>
      </c>
      <c r="J60" s="13" t="s">
        <v>142</v>
      </c>
      <c r="K60" s="13" t="s">
        <v>143</v>
      </c>
      <c r="L60" s="13"/>
      <c r="M60" s="13"/>
      <c r="N60" s="20" t="str">
        <f>HYPERLINK("http://slimages.macys.com/is/image/MCY/19148756 ")</f>
        <v xml:space="preserve">http://slimages.macys.com/is/image/MCY/19148756 </v>
      </c>
    </row>
    <row r="61" spans="1:14" x14ac:dyDescent="0.25">
      <c r="A61" s="19" t="s">
        <v>206</v>
      </c>
      <c r="B61" s="13" t="s">
        <v>207</v>
      </c>
      <c r="C61" s="8">
        <v>4</v>
      </c>
      <c r="D61" s="9">
        <v>11.67</v>
      </c>
      <c r="E61" s="9">
        <v>46.68</v>
      </c>
      <c r="F61" s="8" t="s">
        <v>208</v>
      </c>
      <c r="G61" s="13" t="s">
        <v>83</v>
      </c>
      <c r="H61" s="19" t="s">
        <v>184</v>
      </c>
      <c r="I61" s="13" t="s">
        <v>11</v>
      </c>
      <c r="J61" s="13" t="s">
        <v>142</v>
      </c>
      <c r="K61" s="13" t="s">
        <v>143</v>
      </c>
      <c r="L61" s="13" t="s">
        <v>154</v>
      </c>
      <c r="M61" s="13" t="s">
        <v>209</v>
      </c>
      <c r="N61" s="20" t="str">
        <f>HYPERLINK("http://images.bloomingdales.com/is/image/BLM/11393050 ")</f>
        <v xml:space="preserve">http://images.bloomingdales.com/is/image/BLM/11393050 </v>
      </c>
    </row>
    <row r="62" spans="1:14" x14ac:dyDescent="0.25">
      <c r="A62" s="19" t="s">
        <v>3046</v>
      </c>
      <c r="B62" s="13" t="s">
        <v>3047</v>
      </c>
      <c r="C62" s="8">
        <v>1</v>
      </c>
      <c r="D62" s="9">
        <v>38</v>
      </c>
      <c r="E62" s="9">
        <v>38</v>
      </c>
      <c r="F62" s="8" t="s">
        <v>2761</v>
      </c>
      <c r="G62" s="13" t="s">
        <v>31</v>
      </c>
      <c r="H62" s="19" t="s">
        <v>55</v>
      </c>
      <c r="I62" s="13" t="s">
        <v>11</v>
      </c>
      <c r="J62" s="13" t="s">
        <v>142</v>
      </c>
      <c r="K62" s="13" t="s">
        <v>143</v>
      </c>
      <c r="L62" s="13"/>
      <c r="M62" s="13"/>
      <c r="N62" s="20" t="str">
        <f>HYPERLINK("http://slimages.macys.com/is/image/MCY/18863838 ")</f>
        <v xml:space="preserve">http://slimages.macys.com/is/image/MCY/18863838 </v>
      </c>
    </row>
    <row r="63" spans="1:14" x14ac:dyDescent="0.25">
      <c r="A63" s="19" t="s">
        <v>669</v>
      </c>
      <c r="B63" s="13" t="s">
        <v>670</v>
      </c>
      <c r="C63" s="8">
        <v>1</v>
      </c>
      <c r="D63" s="9">
        <v>48</v>
      </c>
      <c r="E63" s="9">
        <v>48</v>
      </c>
      <c r="F63" s="8" t="s">
        <v>671</v>
      </c>
      <c r="G63" s="13" t="s">
        <v>201</v>
      </c>
      <c r="H63" s="19" t="s">
        <v>55</v>
      </c>
      <c r="I63" s="13" t="s">
        <v>11</v>
      </c>
      <c r="J63" s="13" t="s">
        <v>142</v>
      </c>
      <c r="K63" s="13" t="s">
        <v>143</v>
      </c>
      <c r="L63" s="13" t="s">
        <v>154</v>
      </c>
      <c r="M63" s="13" t="s">
        <v>672</v>
      </c>
      <c r="N63" s="20" t="str">
        <f>HYPERLINK("http://images.bloomingdales.com/is/image/BLM/11700047 ")</f>
        <v xml:space="preserve">http://images.bloomingdales.com/is/image/BLM/11700047 </v>
      </c>
    </row>
    <row r="64" spans="1:14" x14ac:dyDescent="0.25">
      <c r="A64" s="19" t="s">
        <v>1726</v>
      </c>
      <c r="B64" s="13" t="s">
        <v>1727</v>
      </c>
      <c r="C64" s="8">
        <v>1</v>
      </c>
      <c r="D64" s="9">
        <v>42</v>
      </c>
      <c r="E64" s="9">
        <v>42</v>
      </c>
      <c r="F64" s="8" t="s">
        <v>148</v>
      </c>
      <c r="G64" s="13" t="s">
        <v>127</v>
      </c>
      <c r="H64" s="19" t="s">
        <v>149</v>
      </c>
      <c r="I64" s="13" t="s">
        <v>11</v>
      </c>
      <c r="J64" s="13" t="s">
        <v>142</v>
      </c>
      <c r="K64" s="13" t="s">
        <v>143</v>
      </c>
      <c r="L64" s="13" t="s">
        <v>111</v>
      </c>
      <c r="M64" s="13" t="s">
        <v>118</v>
      </c>
      <c r="N64" s="20" t="str">
        <f>HYPERLINK("http://slimages.macys.com/is/image/MCY/15297085 ")</f>
        <v xml:space="preserve">http://slimages.macys.com/is/image/MCY/15297085 </v>
      </c>
    </row>
    <row r="65" spans="1:14" x14ac:dyDescent="0.25">
      <c r="A65" s="19" t="s">
        <v>3035</v>
      </c>
      <c r="B65" s="13" t="s">
        <v>3036</v>
      </c>
      <c r="C65" s="8">
        <v>1</v>
      </c>
      <c r="D65" s="9">
        <v>44</v>
      </c>
      <c r="E65" s="9">
        <v>44</v>
      </c>
      <c r="F65" s="8" t="s">
        <v>679</v>
      </c>
      <c r="G65" s="13" t="s">
        <v>201</v>
      </c>
      <c r="H65" s="19" t="s">
        <v>40</v>
      </c>
      <c r="I65" s="13" t="s">
        <v>11</v>
      </c>
      <c r="J65" s="13" t="s">
        <v>142</v>
      </c>
      <c r="K65" s="13" t="s">
        <v>143</v>
      </c>
      <c r="L65" s="13"/>
      <c r="M65" s="13"/>
      <c r="N65" s="20" t="str">
        <f>HYPERLINK("http://slimages.macys.com/is/image/MCY/20428748 ")</f>
        <v xml:space="preserve">http://slimages.macys.com/is/image/MCY/20428748 </v>
      </c>
    </row>
    <row r="66" spans="1:14" x14ac:dyDescent="0.25">
      <c r="A66" s="19" t="s">
        <v>361</v>
      </c>
      <c r="B66" s="13" t="s">
        <v>362</v>
      </c>
      <c r="C66" s="8">
        <v>1</v>
      </c>
      <c r="D66" s="9">
        <v>42</v>
      </c>
      <c r="E66" s="9">
        <v>42</v>
      </c>
      <c r="F66" s="8" t="s">
        <v>359</v>
      </c>
      <c r="G66" s="13" t="s">
        <v>86</v>
      </c>
      <c r="H66" s="19" t="s">
        <v>227</v>
      </c>
      <c r="I66" s="13" t="s">
        <v>11</v>
      </c>
      <c r="J66" s="13" t="s">
        <v>343</v>
      </c>
      <c r="K66" s="13" t="s">
        <v>360</v>
      </c>
      <c r="L66" s="13"/>
      <c r="M66" s="13"/>
      <c r="N66" s="20" t="str">
        <f>HYPERLINK("http://slimages.macys.com/is/image/MCY/19754770 ")</f>
        <v xml:space="preserve">http://slimages.macys.com/is/image/MCY/19754770 </v>
      </c>
    </row>
    <row r="67" spans="1:14" x14ac:dyDescent="0.25">
      <c r="A67" s="19" t="s">
        <v>3226</v>
      </c>
      <c r="B67" s="13" t="s">
        <v>3227</v>
      </c>
      <c r="C67" s="8">
        <v>1</v>
      </c>
      <c r="D67" s="9">
        <v>19.5</v>
      </c>
      <c r="E67" s="9">
        <v>19.5</v>
      </c>
      <c r="F67" s="8" t="s">
        <v>776</v>
      </c>
      <c r="G67" s="13" t="s">
        <v>137</v>
      </c>
      <c r="H67" s="19" t="s">
        <v>227</v>
      </c>
      <c r="I67" s="13" t="s">
        <v>11</v>
      </c>
      <c r="J67" s="13" t="s">
        <v>343</v>
      </c>
      <c r="K67" s="13" t="s">
        <v>360</v>
      </c>
      <c r="L67" s="13"/>
      <c r="M67" s="13"/>
      <c r="N67" s="20" t="str">
        <f>HYPERLINK("http://slimages.macys.com/is/image/MCY/19754635 ")</f>
        <v xml:space="preserve">http://slimages.macys.com/is/image/MCY/19754635 </v>
      </c>
    </row>
    <row r="68" spans="1:14" x14ac:dyDescent="0.25">
      <c r="A68" s="19" t="s">
        <v>3067</v>
      </c>
      <c r="B68" s="13" t="s">
        <v>3068</v>
      </c>
      <c r="C68" s="8">
        <v>1</v>
      </c>
      <c r="D68" s="9">
        <v>69</v>
      </c>
      <c r="E68" s="9">
        <v>69</v>
      </c>
      <c r="F68" s="8">
        <v>1951</v>
      </c>
      <c r="G68" s="13" t="s">
        <v>127</v>
      </c>
      <c r="H68" s="19" t="s">
        <v>3069</v>
      </c>
      <c r="I68" s="13" t="s">
        <v>11</v>
      </c>
      <c r="J68" s="13" t="s">
        <v>217</v>
      </c>
      <c r="K68" s="13" t="s">
        <v>218</v>
      </c>
      <c r="L68" s="13" t="s">
        <v>111</v>
      </c>
      <c r="M68" s="13" t="s">
        <v>3070</v>
      </c>
      <c r="N68" s="20" t="str">
        <f>HYPERLINK("http://slimages.macys.com/is/image/MCY/15439151 ")</f>
        <v xml:space="preserve">http://slimages.macys.com/is/image/MCY/15439151 </v>
      </c>
    </row>
    <row r="69" spans="1:14" x14ac:dyDescent="0.25">
      <c r="A69" s="19" t="s">
        <v>3019</v>
      </c>
      <c r="B69" s="13" t="s">
        <v>3020</v>
      </c>
      <c r="C69" s="8">
        <v>1</v>
      </c>
      <c r="D69" s="9">
        <v>39.99</v>
      </c>
      <c r="E69" s="9">
        <v>39.99</v>
      </c>
      <c r="F69" s="8">
        <v>100105725</v>
      </c>
      <c r="G69" s="13" t="s">
        <v>122</v>
      </c>
      <c r="H69" s="19" t="s">
        <v>40</v>
      </c>
      <c r="I69" s="13" t="s">
        <v>11</v>
      </c>
      <c r="J69" s="13" t="s">
        <v>130</v>
      </c>
      <c r="K69" s="13" t="s">
        <v>131</v>
      </c>
      <c r="L69" s="13"/>
      <c r="M69" s="13"/>
      <c r="N69" s="20" t="str">
        <f>HYPERLINK("http://slimages.macys.com/is/image/MCY/20492833 ")</f>
        <v xml:space="preserve">http://slimages.macys.com/is/image/MCY/20492833 </v>
      </c>
    </row>
    <row r="70" spans="1:14" x14ac:dyDescent="0.25">
      <c r="A70" s="19" t="s">
        <v>3024</v>
      </c>
      <c r="B70" s="13" t="s">
        <v>3025</v>
      </c>
      <c r="C70" s="8">
        <v>1</v>
      </c>
      <c r="D70" s="9">
        <v>22.99</v>
      </c>
      <c r="E70" s="9">
        <v>22.99</v>
      </c>
      <c r="F70" s="8" t="s">
        <v>946</v>
      </c>
      <c r="G70" s="13" t="s">
        <v>62</v>
      </c>
      <c r="H70" s="19" t="s">
        <v>27</v>
      </c>
      <c r="I70" s="13" t="s">
        <v>11</v>
      </c>
      <c r="J70" s="13" t="s">
        <v>130</v>
      </c>
      <c r="K70" s="13" t="s">
        <v>131</v>
      </c>
      <c r="L70" s="13"/>
      <c r="M70" s="13"/>
      <c r="N70" s="20" t="str">
        <f>HYPERLINK("http://slimages.macys.com/is/image/MCY/19224657 ")</f>
        <v xml:space="preserve">http://slimages.macys.com/is/image/MCY/19224657 </v>
      </c>
    </row>
    <row r="71" spans="1:14" x14ac:dyDescent="0.25">
      <c r="A71" s="19" t="s">
        <v>3011</v>
      </c>
      <c r="B71" s="13" t="s">
        <v>3012</v>
      </c>
      <c r="C71" s="8">
        <v>1</v>
      </c>
      <c r="D71" s="9">
        <v>32.99</v>
      </c>
      <c r="E71" s="9">
        <v>32.99</v>
      </c>
      <c r="F71" s="8">
        <v>100069416</v>
      </c>
      <c r="G71" s="13" t="s">
        <v>83</v>
      </c>
      <c r="H71" s="19" t="s">
        <v>47</v>
      </c>
      <c r="I71" s="13" t="s">
        <v>11</v>
      </c>
      <c r="J71" s="13" t="s">
        <v>130</v>
      </c>
      <c r="K71" s="13" t="s">
        <v>131</v>
      </c>
      <c r="L71" s="13" t="s">
        <v>111</v>
      </c>
      <c r="M71" s="13" t="s">
        <v>415</v>
      </c>
      <c r="N71" s="20" t="str">
        <f>HYPERLINK("http://slimages.macys.com/is/image/MCY/13727717 ")</f>
        <v xml:space="preserve">http://slimages.macys.com/is/image/MCY/13727717 </v>
      </c>
    </row>
    <row r="72" spans="1:14" x14ac:dyDescent="0.25">
      <c r="A72" s="19" t="s">
        <v>1157</v>
      </c>
      <c r="B72" s="13" t="s">
        <v>1158</v>
      </c>
      <c r="C72" s="8">
        <v>1</v>
      </c>
      <c r="D72" s="9">
        <v>32.99</v>
      </c>
      <c r="E72" s="9">
        <v>32.99</v>
      </c>
      <c r="F72" s="8" t="s">
        <v>1159</v>
      </c>
      <c r="G72" s="13" t="s">
        <v>37</v>
      </c>
      <c r="H72" s="19" t="s">
        <v>47</v>
      </c>
      <c r="I72" s="13" t="s">
        <v>11</v>
      </c>
      <c r="J72" s="13" t="s">
        <v>130</v>
      </c>
      <c r="K72" s="13" t="s">
        <v>131</v>
      </c>
      <c r="L72" s="13"/>
      <c r="M72" s="13"/>
      <c r="N72" s="20" t="str">
        <f>HYPERLINK("http://slimages.macys.com/is/image/MCY/19224665 ")</f>
        <v xml:space="preserve">http://slimages.macys.com/is/image/MCY/19224665 </v>
      </c>
    </row>
    <row r="73" spans="1:14" x14ac:dyDescent="0.25">
      <c r="A73" s="19" t="s">
        <v>3017</v>
      </c>
      <c r="B73" s="13" t="s">
        <v>3018</v>
      </c>
      <c r="C73" s="8">
        <v>1</v>
      </c>
      <c r="D73" s="9">
        <v>32.99</v>
      </c>
      <c r="E73" s="9">
        <v>32.99</v>
      </c>
      <c r="F73" s="8" t="s">
        <v>1159</v>
      </c>
      <c r="G73" s="13" t="s">
        <v>37</v>
      </c>
      <c r="H73" s="19" t="s">
        <v>87</v>
      </c>
      <c r="I73" s="13" t="s">
        <v>11</v>
      </c>
      <c r="J73" s="13" t="s">
        <v>130</v>
      </c>
      <c r="K73" s="13" t="s">
        <v>131</v>
      </c>
      <c r="L73" s="13"/>
      <c r="M73" s="13"/>
      <c r="N73" s="20" t="str">
        <f>HYPERLINK("http://slimages.macys.com/is/image/MCY/19224665 ")</f>
        <v xml:space="preserve">http://slimages.macys.com/is/image/MCY/19224665 </v>
      </c>
    </row>
    <row r="74" spans="1:14" x14ac:dyDescent="0.25">
      <c r="A74" s="19" t="s">
        <v>3021</v>
      </c>
      <c r="B74" s="13" t="s">
        <v>3022</v>
      </c>
      <c r="C74" s="8">
        <v>1</v>
      </c>
      <c r="D74" s="9">
        <v>22.99</v>
      </c>
      <c r="E74" s="9">
        <v>22.99</v>
      </c>
      <c r="F74" s="8" t="s">
        <v>3023</v>
      </c>
      <c r="G74" s="13" t="s">
        <v>102</v>
      </c>
      <c r="H74" s="19" t="s">
        <v>55</v>
      </c>
      <c r="I74" s="13" t="s">
        <v>11</v>
      </c>
      <c r="J74" s="13" t="s">
        <v>130</v>
      </c>
      <c r="K74" s="13" t="s">
        <v>131</v>
      </c>
      <c r="L74" s="13"/>
      <c r="M74" s="13"/>
      <c r="N74" s="20" t="str">
        <f>HYPERLINK("http://slimages.macys.com/is/image/MCY/19224615 ")</f>
        <v xml:space="preserve">http://slimages.macys.com/is/image/MCY/19224615 </v>
      </c>
    </row>
    <row r="75" spans="1:14" x14ac:dyDescent="0.25">
      <c r="A75" s="19" t="s">
        <v>3009</v>
      </c>
      <c r="B75" s="13" t="s">
        <v>3010</v>
      </c>
      <c r="C75" s="8">
        <v>1</v>
      </c>
      <c r="D75" s="9">
        <v>42.99</v>
      </c>
      <c r="E75" s="9">
        <v>42.99</v>
      </c>
      <c r="F75" s="8" t="s">
        <v>129</v>
      </c>
      <c r="G75" s="13" t="s">
        <v>62</v>
      </c>
      <c r="H75" s="19" t="s">
        <v>47</v>
      </c>
      <c r="I75" s="13" t="s">
        <v>11</v>
      </c>
      <c r="J75" s="13" t="s">
        <v>130</v>
      </c>
      <c r="K75" s="13" t="s">
        <v>131</v>
      </c>
      <c r="L75" s="13"/>
      <c r="M75" s="13"/>
      <c r="N75" s="20" t="str">
        <f>HYPERLINK("http://slimages.macys.com/is/image/MCY/19224637 ")</f>
        <v xml:space="preserve">http://slimages.macys.com/is/image/MCY/19224637 </v>
      </c>
    </row>
    <row r="76" spans="1:14" x14ac:dyDescent="0.25">
      <c r="A76" s="19" t="s">
        <v>3013</v>
      </c>
      <c r="B76" s="13" t="s">
        <v>3014</v>
      </c>
      <c r="C76" s="8">
        <v>1</v>
      </c>
      <c r="D76" s="9">
        <v>39.99</v>
      </c>
      <c r="E76" s="9">
        <v>39.99</v>
      </c>
      <c r="F76" s="8" t="s">
        <v>2165</v>
      </c>
      <c r="G76" s="13" t="s">
        <v>270</v>
      </c>
      <c r="H76" s="19" t="s">
        <v>47</v>
      </c>
      <c r="I76" s="13" t="s">
        <v>11</v>
      </c>
      <c r="J76" s="13" t="s">
        <v>130</v>
      </c>
      <c r="K76" s="13" t="s">
        <v>131</v>
      </c>
      <c r="L76" s="13"/>
      <c r="M76" s="13"/>
      <c r="N76" s="20" t="str">
        <f>HYPERLINK("http://slimages.macys.com/is/image/MCY/18951733 ")</f>
        <v xml:space="preserve">http://slimages.macys.com/is/image/MCY/18951733 </v>
      </c>
    </row>
    <row r="77" spans="1:14" x14ac:dyDescent="0.25">
      <c r="A77" s="19" t="s">
        <v>3007</v>
      </c>
      <c r="B77" s="13" t="s">
        <v>3008</v>
      </c>
      <c r="C77" s="8">
        <v>1</v>
      </c>
      <c r="D77" s="9">
        <v>32.99</v>
      </c>
      <c r="E77" s="9">
        <v>32.99</v>
      </c>
      <c r="F77" s="8">
        <v>100069427</v>
      </c>
      <c r="G77" s="13" t="s">
        <v>83</v>
      </c>
      <c r="H77" s="19" t="s">
        <v>87</v>
      </c>
      <c r="I77" s="13" t="s">
        <v>11</v>
      </c>
      <c r="J77" s="13" t="s">
        <v>130</v>
      </c>
      <c r="K77" s="13" t="s">
        <v>131</v>
      </c>
      <c r="L77" s="13" t="s">
        <v>111</v>
      </c>
      <c r="M77" s="13" t="s">
        <v>415</v>
      </c>
      <c r="N77" s="20" t="str">
        <f>HYPERLINK("http://slimages.macys.com/is/image/MCY/14313549 ")</f>
        <v xml:space="preserve">http://slimages.macys.com/is/image/MCY/14313549 </v>
      </c>
    </row>
    <row r="78" spans="1:14" x14ac:dyDescent="0.25">
      <c r="A78" s="19" t="s">
        <v>947</v>
      </c>
      <c r="B78" s="13" t="s">
        <v>948</v>
      </c>
      <c r="C78" s="8">
        <v>2</v>
      </c>
      <c r="D78" s="9">
        <v>22.99</v>
      </c>
      <c r="E78" s="9">
        <v>45.98</v>
      </c>
      <c r="F78" s="8" t="s">
        <v>134</v>
      </c>
      <c r="G78" s="13" t="s">
        <v>135</v>
      </c>
      <c r="H78" s="19" t="s">
        <v>40</v>
      </c>
      <c r="I78" s="13" t="s">
        <v>11</v>
      </c>
      <c r="J78" s="13" t="s">
        <v>130</v>
      </c>
      <c r="K78" s="13" t="s">
        <v>131</v>
      </c>
      <c r="L78" s="13"/>
      <c r="M78" s="13"/>
      <c r="N78" s="20" t="str">
        <f>HYPERLINK("http://slimages.macys.com/is/image/MCY/19660777 ")</f>
        <v xml:space="preserve">http://slimages.macys.com/is/image/MCY/19660777 </v>
      </c>
    </row>
    <row r="79" spans="1:14" x14ac:dyDescent="0.25">
      <c r="A79" s="19" t="s">
        <v>2177</v>
      </c>
      <c r="B79" s="13" t="s">
        <v>2178</v>
      </c>
      <c r="C79" s="8">
        <v>1</v>
      </c>
      <c r="D79" s="9">
        <v>22.99</v>
      </c>
      <c r="E79" s="9">
        <v>22.99</v>
      </c>
      <c r="F79" s="8" t="s">
        <v>134</v>
      </c>
      <c r="G79" s="13" t="s">
        <v>135</v>
      </c>
      <c r="H79" s="19" t="s">
        <v>47</v>
      </c>
      <c r="I79" s="13" t="s">
        <v>11</v>
      </c>
      <c r="J79" s="13" t="s">
        <v>130</v>
      </c>
      <c r="K79" s="13" t="s">
        <v>131</v>
      </c>
      <c r="L79" s="13"/>
      <c r="M79" s="13"/>
      <c r="N79" s="20" t="str">
        <f>HYPERLINK("http://slimages.macys.com/is/image/MCY/19660777 ")</f>
        <v xml:space="preserve">http://slimages.macys.com/is/image/MCY/19660777 </v>
      </c>
    </row>
    <row r="80" spans="1:14" x14ac:dyDescent="0.25">
      <c r="A80" s="19" t="s">
        <v>614</v>
      </c>
      <c r="B80" s="13" t="s">
        <v>615</v>
      </c>
      <c r="C80" s="8">
        <v>1</v>
      </c>
      <c r="D80" s="9">
        <v>22.99</v>
      </c>
      <c r="E80" s="9">
        <v>22.99</v>
      </c>
      <c r="F80" s="8" t="s">
        <v>134</v>
      </c>
      <c r="G80" s="13" t="s">
        <v>76</v>
      </c>
      <c r="H80" s="19" t="s">
        <v>32</v>
      </c>
      <c r="I80" s="13" t="s">
        <v>11</v>
      </c>
      <c r="J80" s="13" t="s">
        <v>130</v>
      </c>
      <c r="K80" s="13" t="s">
        <v>131</v>
      </c>
      <c r="L80" s="13"/>
      <c r="M80" s="13"/>
      <c r="N80" s="20" t="str">
        <f t="shared" ref="N80:N85" si="1">HYPERLINK("http://slimages.macys.com/is/image/MCY/20352544 ")</f>
        <v xml:space="preserve">http://slimages.macys.com/is/image/MCY/20352544 </v>
      </c>
    </row>
    <row r="81" spans="1:14" x14ac:dyDescent="0.25">
      <c r="A81" s="19" t="s">
        <v>938</v>
      </c>
      <c r="B81" s="13" t="s">
        <v>939</v>
      </c>
      <c r="C81" s="8">
        <v>1</v>
      </c>
      <c r="D81" s="9">
        <v>22.99</v>
      </c>
      <c r="E81" s="9">
        <v>22.99</v>
      </c>
      <c r="F81" s="8" t="s">
        <v>134</v>
      </c>
      <c r="G81" s="13" t="s">
        <v>76</v>
      </c>
      <c r="H81" s="19" t="s">
        <v>55</v>
      </c>
      <c r="I81" s="13" t="s">
        <v>11</v>
      </c>
      <c r="J81" s="13" t="s">
        <v>130</v>
      </c>
      <c r="K81" s="13" t="s">
        <v>131</v>
      </c>
      <c r="L81" s="13"/>
      <c r="M81" s="13"/>
      <c r="N81" s="20" t="str">
        <f t="shared" si="1"/>
        <v xml:space="preserve">http://slimages.macys.com/is/image/MCY/20352544 </v>
      </c>
    </row>
    <row r="82" spans="1:14" x14ac:dyDescent="0.25">
      <c r="A82" s="19" t="s">
        <v>622</v>
      </c>
      <c r="B82" s="13" t="s">
        <v>623</v>
      </c>
      <c r="C82" s="8">
        <v>2</v>
      </c>
      <c r="D82" s="9">
        <v>22.99</v>
      </c>
      <c r="E82" s="9">
        <v>45.98</v>
      </c>
      <c r="F82" s="8" t="s">
        <v>134</v>
      </c>
      <c r="G82" s="13" t="s">
        <v>76</v>
      </c>
      <c r="H82" s="19" t="s">
        <v>27</v>
      </c>
      <c r="I82" s="13" t="s">
        <v>11</v>
      </c>
      <c r="J82" s="13" t="s">
        <v>130</v>
      </c>
      <c r="K82" s="13" t="s">
        <v>131</v>
      </c>
      <c r="L82" s="13"/>
      <c r="M82" s="13"/>
      <c r="N82" s="20" t="str">
        <f t="shared" si="1"/>
        <v xml:space="preserve">http://slimages.macys.com/is/image/MCY/20352544 </v>
      </c>
    </row>
    <row r="83" spans="1:14" x14ac:dyDescent="0.25">
      <c r="A83" s="19" t="s">
        <v>624</v>
      </c>
      <c r="B83" s="13" t="s">
        <v>625</v>
      </c>
      <c r="C83" s="8">
        <v>1</v>
      </c>
      <c r="D83" s="9">
        <v>22.99</v>
      </c>
      <c r="E83" s="9">
        <v>22.99</v>
      </c>
      <c r="F83" s="8" t="s">
        <v>134</v>
      </c>
      <c r="G83" s="13" t="s">
        <v>76</v>
      </c>
      <c r="H83" s="19" t="s">
        <v>47</v>
      </c>
      <c r="I83" s="13" t="s">
        <v>11</v>
      </c>
      <c r="J83" s="13" t="s">
        <v>130</v>
      </c>
      <c r="K83" s="13" t="s">
        <v>131</v>
      </c>
      <c r="L83" s="13"/>
      <c r="M83" s="13"/>
      <c r="N83" s="20" t="str">
        <f t="shared" si="1"/>
        <v xml:space="preserve">http://slimages.macys.com/is/image/MCY/20352544 </v>
      </c>
    </row>
    <row r="84" spans="1:14" x14ac:dyDescent="0.25">
      <c r="A84" s="19" t="s">
        <v>612</v>
      </c>
      <c r="B84" s="13" t="s">
        <v>613</v>
      </c>
      <c r="C84" s="8">
        <v>3</v>
      </c>
      <c r="D84" s="9">
        <v>22.99</v>
      </c>
      <c r="E84" s="9">
        <v>68.97</v>
      </c>
      <c r="F84" s="8" t="s">
        <v>134</v>
      </c>
      <c r="G84" s="13" t="s">
        <v>76</v>
      </c>
      <c r="H84" s="19" t="s">
        <v>87</v>
      </c>
      <c r="I84" s="13" t="s">
        <v>11</v>
      </c>
      <c r="J84" s="13" t="s">
        <v>130</v>
      </c>
      <c r="K84" s="13" t="s">
        <v>131</v>
      </c>
      <c r="L84" s="13"/>
      <c r="M84" s="13"/>
      <c r="N84" s="20" t="str">
        <f t="shared" si="1"/>
        <v xml:space="preserve">http://slimages.macys.com/is/image/MCY/20352544 </v>
      </c>
    </row>
    <row r="85" spans="1:14" x14ac:dyDescent="0.25">
      <c r="A85" s="19" t="s">
        <v>626</v>
      </c>
      <c r="B85" s="13" t="s">
        <v>627</v>
      </c>
      <c r="C85" s="8">
        <v>1</v>
      </c>
      <c r="D85" s="9">
        <v>22.99</v>
      </c>
      <c r="E85" s="9">
        <v>22.99</v>
      </c>
      <c r="F85" s="8" t="s">
        <v>134</v>
      </c>
      <c r="G85" s="13" t="s">
        <v>82</v>
      </c>
      <c r="H85" s="19" t="s">
        <v>27</v>
      </c>
      <c r="I85" s="13" t="s">
        <v>11</v>
      </c>
      <c r="J85" s="13" t="s">
        <v>130</v>
      </c>
      <c r="K85" s="13" t="s">
        <v>131</v>
      </c>
      <c r="L85" s="13"/>
      <c r="M85" s="13"/>
      <c r="N85" s="20" t="str">
        <f t="shared" si="1"/>
        <v xml:space="preserve">http://slimages.macys.com/is/image/MCY/20352544 </v>
      </c>
    </row>
    <row r="86" spans="1:14" x14ac:dyDescent="0.25">
      <c r="A86" s="19" t="s">
        <v>638</v>
      </c>
      <c r="B86" s="13" t="s">
        <v>639</v>
      </c>
      <c r="C86" s="8">
        <v>1</v>
      </c>
      <c r="D86" s="9">
        <v>22.99</v>
      </c>
      <c r="E86" s="9">
        <v>22.99</v>
      </c>
      <c r="F86" s="8" t="s">
        <v>134</v>
      </c>
      <c r="G86" s="13" t="s">
        <v>82</v>
      </c>
      <c r="H86" s="19" t="s">
        <v>87</v>
      </c>
      <c r="I86" s="13" t="s">
        <v>11</v>
      </c>
      <c r="J86" s="13" t="s">
        <v>130</v>
      </c>
      <c r="K86" s="13" t="s">
        <v>131</v>
      </c>
      <c r="L86" s="13"/>
      <c r="M86" s="13"/>
      <c r="N86" s="20" t="str">
        <f>HYPERLINK("http://slimages.macys.com/is/image/MCY/537338 ")</f>
        <v xml:space="preserve">http://slimages.macys.com/is/image/MCY/537338 </v>
      </c>
    </row>
    <row r="87" spans="1:14" x14ac:dyDescent="0.25">
      <c r="A87" s="19" t="s">
        <v>657</v>
      </c>
      <c r="B87" s="13" t="s">
        <v>658</v>
      </c>
      <c r="C87" s="8">
        <v>1</v>
      </c>
      <c r="D87" s="9">
        <v>22.99</v>
      </c>
      <c r="E87" s="9">
        <v>22.99</v>
      </c>
      <c r="F87" s="8" t="s">
        <v>134</v>
      </c>
      <c r="G87" s="13" t="s">
        <v>202</v>
      </c>
      <c r="H87" s="19" t="s">
        <v>40</v>
      </c>
      <c r="I87" s="13" t="s">
        <v>11</v>
      </c>
      <c r="J87" s="13" t="s">
        <v>130</v>
      </c>
      <c r="K87" s="13" t="s">
        <v>131</v>
      </c>
      <c r="L87" s="13"/>
      <c r="M87" s="13"/>
      <c r="N87" s="20" t="str">
        <f>HYPERLINK("http://slimages.macys.com/is/image/MCY/20352544 ")</f>
        <v xml:space="preserve">http://slimages.macys.com/is/image/MCY/20352544 </v>
      </c>
    </row>
    <row r="88" spans="1:14" x14ac:dyDescent="0.25">
      <c r="A88" s="19" t="s">
        <v>634</v>
      </c>
      <c r="B88" s="13" t="s">
        <v>635</v>
      </c>
      <c r="C88" s="8">
        <v>1</v>
      </c>
      <c r="D88" s="9">
        <v>22.99</v>
      </c>
      <c r="E88" s="9">
        <v>22.99</v>
      </c>
      <c r="F88" s="8" t="s">
        <v>134</v>
      </c>
      <c r="G88" s="13" t="s">
        <v>202</v>
      </c>
      <c r="H88" s="19" t="s">
        <v>27</v>
      </c>
      <c r="I88" s="13" t="s">
        <v>11</v>
      </c>
      <c r="J88" s="13" t="s">
        <v>130</v>
      </c>
      <c r="K88" s="13" t="s">
        <v>131</v>
      </c>
      <c r="L88" s="13"/>
      <c r="M88" s="13"/>
      <c r="N88" s="20" t="str">
        <f>HYPERLINK("http://slimages.macys.com/is/image/MCY/20352544 ")</f>
        <v xml:space="preserve">http://slimages.macys.com/is/image/MCY/20352544 </v>
      </c>
    </row>
    <row r="89" spans="1:14" x14ac:dyDescent="0.25">
      <c r="A89" s="19" t="s">
        <v>620</v>
      </c>
      <c r="B89" s="13" t="s">
        <v>621</v>
      </c>
      <c r="C89" s="8">
        <v>1</v>
      </c>
      <c r="D89" s="9">
        <v>22.99</v>
      </c>
      <c r="E89" s="9">
        <v>22.99</v>
      </c>
      <c r="F89" s="8" t="s">
        <v>134</v>
      </c>
      <c r="G89" s="13" t="s">
        <v>202</v>
      </c>
      <c r="H89" s="19" t="s">
        <v>47</v>
      </c>
      <c r="I89" s="13" t="s">
        <v>11</v>
      </c>
      <c r="J89" s="13" t="s">
        <v>130</v>
      </c>
      <c r="K89" s="13" t="s">
        <v>131</v>
      </c>
      <c r="L89" s="13"/>
      <c r="M89" s="13"/>
      <c r="N89" s="20" t="str">
        <f>HYPERLINK("http://slimages.macys.com/is/image/MCY/20352544 ")</f>
        <v xml:space="preserve">http://slimages.macys.com/is/image/MCY/20352544 </v>
      </c>
    </row>
    <row r="90" spans="1:14" x14ac:dyDescent="0.25">
      <c r="A90" s="19" t="s">
        <v>3015</v>
      </c>
      <c r="B90" s="13" t="s">
        <v>3016</v>
      </c>
      <c r="C90" s="8">
        <v>1</v>
      </c>
      <c r="D90" s="9">
        <v>29.99</v>
      </c>
      <c r="E90" s="9">
        <v>29.99</v>
      </c>
      <c r="F90" s="8" t="s">
        <v>1154</v>
      </c>
      <c r="G90" s="13" t="s">
        <v>78</v>
      </c>
      <c r="H90" s="19" t="s">
        <v>87</v>
      </c>
      <c r="I90" s="13" t="s">
        <v>11</v>
      </c>
      <c r="J90" s="13" t="s">
        <v>130</v>
      </c>
      <c r="K90" s="13" t="s">
        <v>131</v>
      </c>
      <c r="L90" s="13"/>
      <c r="M90" s="13"/>
      <c r="N90" s="20" t="str">
        <f>HYPERLINK("http://slimages.macys.com/is/image/MCY/19877054 ")</f>
        <v xml:space="preserve">http://slimages.macys.com/is/image/MCY/19877054 </v>
      </c>
    </row>
    <row r="91" spans="1:14" x14ac:dyDescent="0.25">
      <c r="A91" s="19" t="s">
        <v>3026</v>
      </c>
      <c r="B91" s="13" t="s">
        <v>3027</v>
      </c>
      <c r="C91" s="8">
        <v>1</v>
      </c>
      <c r="D91" s="9">
        <v>19.989999999999998</v>
      </c>
      <c r="E91" s="9">
        <v>19.989999999999998</v>
      </c>
      <c r="F91" s="8" t="s">
        <v>2209</v>
      </c>
      <c r="G91" s="13" t="s">
        <v>140</v>
      </c>
      <c r="H91" s="19" t="s">
        <v>55</v>
      </c>
      <c r="I91" s="13" t="s">
        <v>11</v>
      </c>
      <c r="J91" s="13" t="s">
        <v>130</v>
      </c>
      <c r="K91" s="13" t="s">
        <v>131</v>
      </c>
      <c r="L91" s="13"/>
      <c r="M91" s="13"/>
      <c r="N91" s="20" t="str">
        <f>HYPERLINK("http://slimages.macys.com/is/image/MCY/18531130 ")</f>
        <v xml:space="preserve">http://slimages.macys.com/is/image/MCY/18531130 </v>
      </c>
    </row>
    <row r="92" spans="1:14" x14ac:dyDescent="0.25">
      <c r="A92" s="19" t="s">
        <v>940</v>
      </c>
      <c r="B92" s="13" t="s">
        <v>941</v>
      </c>
      <c r="C92" s="8">
        <v>1</v>
      </c>
      <c r="D92" s="9">
        <v>32.99</v>
      </c>
      <c r="E92" s="9">
        <v>32.99</v>
      </c>
      <c r="F92" s="8" t="s">
        <v>644</v>
      </c>
      <c r="G92" s="13" t="s">
        <v>62</v>
      </c>
      <c r="H92" s="19" t="s">
        <v>55</v>
      </c>
      <c r="I92" s="13" t="s">
        <v>11</v>
      </c>
      <c r="J92" s="13" t="s">
        <v>130</v>
      </c>
      <c r="K92" s="13" t="s">
        <v>131</v>
      </c>
      <c r="L92" s="13"/>
      <c r="M92" s="13"/>
      <c r="N92" s="20" t="str">
        <f>HYPERLINK("http://slimages.macys.com/is/image/MCY/19224695 ")</f>
        <v xml:space="preserve">http://slimages.macys.com/is/image/MCY/19224695 </v>
      </c>
    </row>
    <row r="93" spans="1:14" x14ac:dyDescent="0.25">
      <c r="A93" s="19" t="s">
        <v>651</v>
      </c>
      <c r="B93" s="13" t="s">
        <v>652</v>
      </c>
      <c r="C93" s="8">
        <v>1</v>
      </c>
      <c r="D93" s="9">
        <v>32.99</v>
      </c>
      <c r="E93" s="9">
        <v>32.99</v>
      </c>
      <c r="F93" s="8" t="s">
        <v>644</v>
      </c>
      <c r="G93" s="13" t="s">
        <v>62</v>
      </c>
      <c r="H93" s="19" t="s">
        <v>87</v>
      </c>
      <c r="I93" s="13" t="s">
        <v>11</v>
      </c>
      <c r="J93" s="13" t="s">
        <v>130</v>
      </c>
      <c r="K93" s="13" t="s">
        <v>131</v>
      </c>
      <c r="L93" s="13"/>
      <c r="M93" s="13"/>
      <c r="N93" s="20" t="str">
        <f>HYPERLINK("http://slimages.macys.com/is/image/MCY/19224695 ")</f>
        <v xml:space="preserve">http://slimages.macys.com/is/image/MCY/19224695 </v>
      </c>
    </row>
    <row r="94" spans="1:14" x14ac:dyDescent="0.25">
      <c r="A94" s="19" t="s">
        <v>3253</v>
      </c>
      <c r="B94" s="13" t="s">
        <v>3254</v>
      </c>
      <c r="C94" s="8">
        <v>1</v>
      </c>
      <c r="D94" s="9">
        <v>5.6</v>
      </c>
      <c r="E94" s="9">
        <v>5.6</v>
      </c>
      <c r="F94" s="8">
        <v>100111253</v>
      </c>
      <c r="G94" s="13" t="s">
        <v>124</v>
      </c>
      <c r="H94" s="19" t="s">
        <v>27</v>
      </c>
      <c r="I94" s="13" t="s">
        <v>11</v>
      </c>
      <c r="J94" s="13" t="s">
        <v>457</v>
      </c>
      <c r="K94" s="13" t="s">
        <v>485</v>
      </c>
      <c r="L94" s="13"/>
      <c r="M94" s="13"/>
      <c r="N94" s="20" t="str">
        <f>HYPERLINK("http://slimages.macys.com/is/image/MCY/18015224 ")</f>
        <v xml:space="preserve">http://slimages.macys.com/is/image/MCY/18015224 </v>
      </c>
    </row>
    <row r="95" spans="1:14" x14ac:dyDescent="0.25">
      <c r="A95" s="19" t="s">
        <v>519</v>
      </c>
      <c r="B95" s="13" t="s">
        <v>520</v>
      </c>
      <c r="C95" s="8">
        <v>1</v>
      </c>
      <c r="D95" s="9">
        <v>5.6</v>
      </c>
      <c r="E95" s="9">
        <v>5.6</v>
      </c>
      <c r="F95" s="8">
        <v>100131405</v>
      </c>
      <c r="G95" s="13" t="s">
        <v>78</v>
      </c>
      <c r="H95" s="19" t="s">
        <v>27</v>
      </c>
      <c r="I95" s="13" t="s">
        <v>11</v>
      </c>
      <c r="J95" s="13" t="s">
        <v>457</v>
      </c>
      <c r="K95" s="13" t="s">
        <v>485</v>
      </c>
      <c r="L95" s="13"/>
      <c r="M95" s="13"/>
      <c r="N95" s="20" t="str">
        <f>HYPERLINK("http://slimages.macys.com/is/image/MCY/19412957 ")</f>
        <v xml:space="preserve">http://slimages.macys.com/is/image/MCY/19412957 </v>
      </c>
    </row>
    <row r="96" spans="1:14" x14ac:dyDescent="0.25">
      <c r="A96" s="19" t="s">
        <v>525</v>
      </c>
      <c r="B96" s="13" t="s">
        <v>526</v>
      </c>
      <c r="C96" s="8">
        <v>2</v>
      </c>
      <c r="D96" s="9">
        <v>5.6</v>
      </c>
      <c r="E96" s="9">
        <v>11.2</v>
      </c>
      <c r="F96" s="8">
        <v>100131399</v>
      </c>
      <c r="G96" s="13" t="s">
        <v>104</v>
      </c>
      <c r="H96" s="19" t="s">
        <v>55</v>
      </c>
      <c r="I96" s="13" t="s">
        <v>11</v>
      </c>
      <c r="J96" s="13" t="s">
        <v>457</v>
      </c>
      <c r="K96" s="13" t="s">
        <v>485</v>
      </c>
      <c r="L96" s="13"/>
      <c r="M96" s="13"/>
      <c r="N96" s="20" t="str">
        <f>HYPERLINK("http://slimages.macys.com/is/image/MCY/19412957 ")</f>
        <v xml:space="preserve">http://slimages.macys.com/is/image/MCY/19412957 </v>
      </c>
    </row>
    <row r="97" spans="1:14" x14ac:dyDescent="0.25">
      <c r="A97" s="19" t="s">
        <v>505</v>
      </c>
      <c r="B97" s="13" t="s">
        <v>506</v>
      </c>
      <c r="C97" s="8">
        <v>1</v>
      </c>
      <c r="D97" s="9">
        <v>5.6</v>
      </c>
      <c r="E97" s="9">
        <v>5.6</v>
      </c>
      <c r="F97" s="8">
        <v>100131403</v>
      </c>
      <c r="G97" s="13" t="s">
        <v>62</v>
      </c>
      <c r="H97" s="19" t="s">
        <v>32</v>
      </c>
      <c r="I97" s="13" t="s">
        <v>11</v>
      </c>
      <c r="J97" s="13" t="s">
        <v>457</v>
      </c>
      <c r="K97" s="13" t="s">
        <v>485</v>
      </c>
      <c r="L97" s="13"/>
      <c r="M97" s="13"/>
      <c r="N97" s="20" t="str">
        <f>HYPERLINK("http://slimages.macys.com/is/image/MCY/19877130 ")</f>
        <v xml:space="preserve">http://slimages.macys.com/is/image/MCY/19877130 </v>
      </c>
    </row>
    <row r="98" spans="1:14" x14ac:dyDescent="0.25">
      <c r="A98" s="19" t="s">
        <v>507</v>
      </c>
      <c r="B98" s="13" t="s">
        <v>508</v>
      </c>
      <c r="C98" s="8">
        <v>1</v>
      </c>
      <c r="D98" s="9">
        <v>5.6</v>
      </c>
      <c r="E98" s="9">
        <v>5.6</v>
      </c>
      <c r="F98" s="8">
        <v>100131403</v>
      </c>
      <c r="G98" s="13" t="s">
        <v>62</v>
      </c>
      <c r="H98" s="19" t="s">
        <v>27</v>
      </c>
      <c r="I98" s="13" t="s">
        <v>11</v>
      </c>
      <c r="J98" s="13" t="s">
        <v>457</v>
      </c>
      <c r="K98" s="13" t="s">
        <v>485</v>
      </c>
      <c r="L98" s="13"/>
      <c r="M98" s="13"/>
      <c r="N98" s="20" t="str">
        <f>HYPERLINK("http://slimages.macys.com/is/image/MCY/19877130 ")</f>
        <v xml:space="preserve">http://slimages.macys.com/is/image/MCY/19877130 </v>
      </c>
    </row>
    <row r="99" spans="1:14" x14ac:dyDescent="0.25">
      <c r="A99" s="19" t="s">
        <v>3255</v>
      </c>
      <c r="B99" s="13" t="s">
        <v>3256</v>
      </c>
      <c r="C99" s="8">
        <v>1</v>
      </c>
      <c r="D99" s="9">
        <v>3.93</v>
      </c>
      <c r="E99" s="9">
        <v>3.93</v>
      </c>
      <c r="F99" s="8">
        <v>100105110</v>
      </c>
      <c r="G99" s="13" t="s">
        <v>62</v>
      </c>
      <c r="H99" s="19" t="s">
        <v>27</v>
      </c>
      <c r="I99" s="13" t="s">
        <v>11</v>
      </c>
      <c r="J99" s="13" t="s">
        <v>457</v>
      </c>
      <c r="K99" s="13" t="s">
        <v>485</v>
      </c>
      <c r="L99" s="13"/>
      <c r="M99" s="13"/>
      <c r="N99" s="20" t="str">
        <f>HYPERLINK("http://slimages.macys.com/is/image/MCY/21608861 ")</f>
        <v xml:space="preserve">http://slimages.macys.com/is/image/MCY/21608861 </v>
      </c>
    </row>
    <row r="100" spans="1:14" x14ac:dyDescent="0.25">
      <c r="A100" s="19" t="s">
        <v>3270</v>
      </c>
      <c r="B100" s="13" t="s">
        <v>3271</v>
      </c>
      <c r="C100" s="8">
        <v>1</v>
      </c>
      <c r="D100" s="9">
        <v>41.3</v>
      </c>
      <c r="E100" s="9">
        <v>41.3</v>
      </c>
      <c r="F100" s="8" t="s">
        <v>3272</v>
      </c>
      <c r="G100" s="13" t="s">
        <v>114</v>
      </c>
      <c r="H100" s="19" t="s">
        <v>228</v>
      </c>
      <c r="I100" s="13" t="s">
        <v>11</v>
      </c>
      <c r="J100" s="13" t="s">
        <v>539</v>
      </c>
      <c r="K100" s="13" t="s">
        <v>551</v>
      </c>
      <c r="L100" s="13"/>
      <c r="M100" s="13"/>
      <c r="N100" s="20" t="str">
        <f>HYPERLINK("http://slimages.macys.com/is/image/MCY/19261419 ")</f>
        <v xml:space="preserve">http://slimages.macys.com/is/image/MCY/19261419 </v>
      </c>
    </row>
    <row r="101" spans="1:14" x14ac:dyDescent="0.25">
      <c r="A101" s="19" t="s">
        <v>3188</v>
      </c>
      <c r="B101" s="13" t="s">
        <v>3189</v>
      </c>
      <c r="C101" s="8">
        <v>1</v>
      </c>
      <c r="D101" s="9">
        <v>69</v>
      </c>
      <c r="E101" s="9">
        <v>69</v>
      </c>
      <c r="F101" s="8" t="s">
        <v>1946</v>
      </c>
      <c r="G101" s="13" t="s">
        <v>125</v>
      </c>
      <c r="H101" s="19" t="s">
        <v>227</v>
      </c>
      <c r="I101" s="13" t="s">
        <v>11</v>
      </c>
      <c r="J101" s="13" t="s">
        <v>343</v>
      </c>
      <c r="K101" s="13" t="s">
        <v>344</v>
      </c>
      <c r="L101" s="13"/>
      <c r="M101" s="13"/>
      <c r="N101" s="20" t="str">
        <f>HYPERLINK("http://slimages.macys.com/is/image/MCY/19585607 ")</f>
        <v xml:space="preserve">http://slimages.macys.com/is/image/MCY/19585607 </v>
      </c>
    </row>
    <row r="102" spans="1:14" x14ac:dyDescent="0.25">
      <c r="A102" s="19" t="s">
        <v>3112</v>
      </c>
      <c r="B102" s="13" t="s">
        <v>3113</v>
      </c>
      <c r="C102" s="8">
        <v>1</v>
      </c>
      <c r="D102" s="9">
        <v>32.99</v>
      </c>
      <c r="E102" s="9">
        <v>32.99</v>
      </c>
      <c r="F102" s="8">
        <v>100070477</v>
      </c>
      <c r="G102" s="13" t="s">
        <v>37</v>
      </c>
      <c r="H102" s="19" t="s">
        <v>55</v>
      </c>
      <c r="I102" s="13" t="s">
        <v>11</v>
      </c>
      <c r="J102" s="13" t="s">
        <v>260</v>
      </c>
      <c r="K102" s="13" t="s">
        <v>261</v>
      </c>
      <c r="L102" s="13" t="s">
        <v>111</v>
      </c>
      <c r="M102" s="13" t="s">
        <v>136</v>
      </c>
      <c r="N102" s="20" t="str">
        <f>HYPERLINK("http://slimages.macys.com/is/image/MCY/14313628 ")</f>
        <v xml:space="preserve">http://slimages.macys.com/is/image/MCY/14313628 </v>
      </c>
    </row>
    <row r="103" spans="1:14" x14ac:dyDescent="0.25">
      <c r="A103" s="19" t="s">
        <v>3114</v>
      </c>
      <c r="B103" s="13" t="s">
        <v>3115</v>
      </c>
      <c r="C103" s="8">
        <v>1</v>
      </c>
      <c r="D103" s="9">
        <v>19.989999999999998</v>
      </c>
      <c r="E103" s="9">
        <v>19.989999999999998</v>
      </c>
      <c r="F103" s="8">
        <v>100127513</v>
      </c>
      <c r="G103" s="13" t="s">
        <v>37</v>
      </c>
      <c r="H103" s="19" t="s">
        <v>32</v>
      </c>
      <c r="I103" s="13" t="s">
        <v>11</v>
      </c>
      <c r="J103" s="13" t="s">
        <v>260</v>
      </c>
      <c r="K103" s="13" t="s">
        <v>996</v>
      </c>
      <c r="L103" s="13"/>
      <c r="M103" s="13"/>
      <c r="N103" s="20" t="str">
        <f>HYPERLINK("http://slimages.macys.com/is/image/MCY/19713326 ")</f>
        <v xml:space="preserve">http://slimages.macys.com/is/image/MCY/19713326 </v>
      </c>
    </row>
    <row r="104" spans="1:14" x14ac:dyDescent="0.25">
      <c r="A104" s="19" t="s">
        <v>1502</v>
      </c>
      <c r="B104" s="13" t="s">
        <v>1503</v>
      </c>
      <c r="C104" s="8">
        <v>1</v>
      </c>
      <c r="D104" s="9">
        <v>34</v>
      </c>
      <c r="E104" s="9">
        <v>34</v>
      </c>
      <c r="F104" s="8">
        <v>900633</v>
      </c>
      <c r="G104" s="13" t="s">
        <v>31</v>
      </c>
      <c r="H104" s="19" t="s">
        <v>40</v>
      </c>
      <c r="I104" s="13" t="s">
        <v>11</v>
      </c>
      <c r="J104" s="13" t="s">
        <v>343</v>
      </c>
      <c r="K104" s="13" t="s">
        <v>354</v>
      </c>
      <c r="L104" s="13"/>
      <c r="M104" s="13"/>
      <c r="N104" s="20" t="str">
        <f>HYPERLINK("http://slimages.macys.com/is/image/MCY/19539433 ")</f>
        <v xml:space="preserve">http://slimages.macys.com/is/image/MCY/19539433 </v>
      </c>
    </row>
    <row r="105" spans="1:14" x14ac:dyDescent="0.25">
      <c r="A105" s="19" t="s">
        <v>1689</v>
      </c>
      <c r="B105" s="13" t="s">
        <v>2794</v>
      </c>
      <c r="C105" s="8">
        <v>1</v>
      </c>
      <c r="D105" s="9">
        <v>58</v>
      </c>
      <c r="E105" s="9">
        <v>58</v>
      </c>
      <c r="F105" s="8">
        <v>900647</v>
      </c>
      <c r="G105" s="13" t="s">
        <v>31</v>
      </c>
      <c r="H105" s="19" t="s">
        <v>40</v>
      </c>
      <c r="I105" s="13" t="s">
        <v>11</v>
      </c>
      <c r="J105" s="13" t="s">
        <v>343</v>
      </c>
      <c r="K105" s="13" t="s">
        <v>354</v>
      </c>
      <c r="L105" s="13"/>
      <c r="M105" s="13"/>
      <c r="N105" s="20" t="str">
        <f>HYPERLINK("http://slimages.macys.com/is/image/MCY/19539364 ")</f>
        <v xml:space="preserve">http://slimages.macys.com/is/image/MCY/19539364 </v>
      </c>
    </row>
    <row r="106" spans="1:14" x14ac:dyDescent="0.25">
      <c r="A106" s="19" t="s">
        <v>3190</v>
      </c>
      <c r="B106" s="13" t="s">
        <v>3191</v>
      </c>
      <c r="C106" s="8">
        <v>1</v>
      </c>
      <c r="D106" s="9">
        <v>58</v>
      </c>
      <c r="E106" s="9">
        <v>58</v>
      </c>
      <c r="F106" s="8">
        <v>900635</v>
      </c>
      <c r="G106" s="13" t="s">
        <v>31</v>
      </c>
      <c r="H106" s="19" t="s">
        <v>40</v>
      </c>
      <c r="I106" s="13" t="s">
        <v>11</v>
      </c>
      <c r="J106" s="13" t="s">
        <v>343</v>
      </c>
      <c r="K106" s="13" t="s">
        <v>354</v>
      </c>
      <c r="L106" s="13"/>
      <c r="M106" s="13"/>
      <c r="N106" s="20" t="str">
        <f>HYPERLINK("http://slimages.macys.com/is/image/MCY/19539395 ")</f>
        <v xml:space="preserve">http://slimages.macys.com/is/image/MCY/19539395 </v>
      </c>
    </row>
    <row r="107" spans="1:14" x14ac:dyDescent="0.25">
      <c r="A107" s="19" t="s">
        <v>1738</v>
      </c>
      <c r="B107" s="13" t="s">
        <v>1739</v>
      </c>
      <c r="C107" s="8">
        <v>1</v>
      </c>
      <c r="D107" s="9">
        <v>54</v>
      </c>
      <c r="E107" s="9">
        <v>54</v>
      </c>
      <c r="F107" s="8" t="s">
        <v>239</v>
      </c>
      <c r="G107" s="13" t="s">
        <v>31</v>
      </c>
      <c r="H107" s="19" t="s">
        <v>40</v>
      </c>
      <c r="I107" s="13" t="s">
        <v>11</v>
      </c>
      <c r="J107" s="13" t="s">
        <v>240</v>
      </c>
      <c r="K107" s="13" t="s">
        <v>241</v>
      </c>
      <c r="L107" s="13"/>
      <c r="M107" s="13"/>
      <c r="N107" s="20" t="str">
        <f>HYPERLINK("http://slimages.macys.com/is/image/MCY/19909653 ")</f>
        <v xml:space="preserve">http://slimages.macys.com/is/image/MCY/19909653 </v>
      </c>
    </row>
    <row r="108" spans="1:14" x14ac:dyDescent="0.25">
      <c r="A108" s="19" t="s">
        <v>1736</v>
      </c>
      <c r="B108" s="13" t="s">
        <v>1737</v>
      </c>
      <c r="C108" s="8">
        <v>1</v>
      </c>
      <c r="D108" s="9">
        <v>54</v>
      </c>
      <c r="E108" s="9">
        <v>54</v>
      </c>
      <c r="F108" s="8" t="s">
        <v>239</v>
      </c>
      <c r="G108" s="13" t="s">
        <v>83</v>
      </c>
      <c r="H108" s="19" t="s">
        <v>32</v>
      </c>
      <c r="I108" s="13" t="s">
        <v>11</v>
      </c>
      <c r="J108" s="13" t="s">
        <v>240</v>
      </c>
      <c r="K108" s="13" t="s">
        <v>241</v>
      </c>
      <c r="L108" s="13"/>
      <c r="M108" s="13"/>
      <c r="N108" s="20" t="str">
        <f>HYPERLINK("http://slimages.macys.com/is/image/MCY/19909656 ")</f>
        <v xml:space="preserve">http://slimages.macys.com/is/image/MCY/19909656 </v>
      </c>
    </row>
    <row r="109" spans="1:14" x14ac:dyDescent="0.25">
      <c r="A109" s="19" t="s">
        <v>242</v>
      </c>
      <c r="B109" s="13" t="s">
        <v>243</v>
      </c>
      <c r="C109" s="8">
        <v>2</v>
      </c>
      <c r="D109" s="9">
        <v>54</v>
      </c>
      <c r="E109" s="9">
        <v>108</v>
      </c>
      <c r="F109" s="8" t="s">
        <v>239</v>
      </c>
      <c r="G109" s="13" t="s">
        <v>83</v>
      </c>
      <c r="H109" s="19" t="s">
        <v>40</v>
      </c>
      <c r="I109" s="13" t="s">
        <v>11</v>
      </c>
      <c r="J109" s="13" t="s">
        <v>240</v>
      </c>
      <c r="K109" s="13" t="s">
        <v>241</v>
      </c>
      <c r="L109" s="13"/>
      <c r="M109" s="13"/>
      <c r="N109" s="20" t="str">
        <f>HYPERLINK("http://slimages.macys.com/is/image/MCY/19909650 ")</f>
        <v xml:space="preserve">http://slimages.macys.com/is/image/MCY/19909650 </v>
      </c>
    </row>
    <row r="110" spans="1:14" x14ac:dyDescent="0.25">
      <c r="A110" s="19" t="s">
        <v>3082</v>
      </c>
      <c r="B110" s="13" t="s">
        <v>3083</v>
      </c>
      <c r="C110" s="8">
        <v>1</v>
      </c>
      <c r="D110" s="9">
        <v>51</v>
      </c>
      <c r="E110" s="9">
        <v>51</v>
      </c>
      <c r="F110" s="8" t="s">
        <v>3084</v>
      </c>
      <c r="G110" s="13" t="s">
        <v>269</v>
      </c>
      <c r="H110" s="19" t="s">
        <v>55</v>
      </c>
      <c r="I110" s="13" t="s">
        <v>11</v>
      </c>
      <c r="J110" s="13" t="s">
        <v>240</v>
      </c>
      <c r="K110" s="13" t="s">
        <v>241</v>
      </c>
      <c r="L110" s="13"/>
      <c r="M110" s="13"/>
      <c r="N110" s="20" t="str">
        <f>HYPERLINK("http://slimages.macys.com/is/image/MCY/19659450 ")</f>
        <v xml:space="preserve">http://slimages.macys.com/is/image/MCY/19659450 </v>
      </c>
    </row>
    <row r="111" spans="1:14" x14ac:dyDescent="0.25">
      <c r="A111" s="19" t="s">
        <v>3106</v>
      </c>
      <c r="B111" s="13" t="s">
        <v>3107</v>
      </c>
      <c r="C111" s="8">
        <v>1</v>
      </c>
      <c r="D111" s="9">
        <v>36</v>
      </c>
      <c r="E111" s="9">
        <v>36</v>
      </c>
      <c r="F111" s="8" t="s">
        <v>3108</v>
      </c>
      <c r="G111" s="13" t="s">
        <v>78</v>
      </c>
      <c r="H111" s="19" t="s">
        <v>40</v>
      </c>
      <c r="I111" s="13" t="s">
        <v>11</v>
      </c>
      <c r="J111" s="13" t="s">
        <v>240</v>
      </c>
      <c r="K111" s="13" t="s">
        <v>241</v>
      </c>
      <c r="L111" s="13" t="s">
        <v>111</v>
      </c>
      <c r="M111" s="13" t="s">
        <v>348</v>
      </c>
      <c r="N111" s="20" t="str">
        <f>HYPERLINK("http://slimages.macys.com/is/image/MCY/18531248 ")</f>
        <v xml:space="preserve">http://slimages.macys.com/is/image/MCY/18531248 </v>
      </c>
    </row>
    <row r="112" spans="1:14" x14ac:dyDescent="0.25">
      <c r="A112" s="19" t="s">
        <v>3103</v>
      </c>
      <c r="B112" s="13" t="s">
        <v>3104</v>
      </c>
      <c r="C112" s="8">
        <v>1</v>
      </c>
      <c r="D112" s="9">
        <v>36</v>
      </c>
      <c r="E112" s="9">
        <v>36</v>
      </c>
      <c r="F112" s="8" t="s">
        <v>3105</v>
      </c>
      <c r="G112" s="13" t="s">
        <v>137</v>
      </c>
      <c r="H112" s="19" t="s">
        <v>40</v>
      </c>
      <c r="I112" s="13" t="s">
        <v>11</v>
      </c>
      <c r="J112" s="13" t="s">
        <v>240</v>
      </c>
      <c r="K112" s="13" t="s">
        <v>241</v>
      </c>
      <c r="L112" s="13"/>
      <c r="M112" s="13"/>
      <c r="N112" s="20" t="str">
        <f>HYPERLINK("http://slimages.macys.com/is/image/MCY/19506464 ")</f>
        <v xml:space="preserve">http://slimages.macys.com/is/image/MCY/19506464 </v>
      </c>
    </row>
    <row r="113" spans="1:14" x14ac:dyDescent="0.25">
      <c r="A113" s="19" t="s">
        <v>1178</v>
      </c>
      <c r="B113" s="13" t="s">
        <v>1179</v>
      </c>
      <c r="C113" s="8">
        <v>2</v>
      </c>
      <c r="D113" s="9">
        <v>58.5</v>
      </c>
      <c r="E113" s="9">
        <v>117</v>
      </c>
      <c r="F113" s="8" t="s">
        <v>973</v>
      </c>
      <c r="G113" s="13" t="s">
        <v>124</v>
      </c>
      <c r="H113" s="19" t="s">
        <v>32</v>
      </c>
      <c r="I113" s="13" t="s">
        <v>11</v>
      </c>
      <c r="J113" s="13" t="s">
        <v>240</v>
      </c>
      <c r="K113" s="13" t="s">
        <v>241</v>
      </c>
      <c r="L113" s="13"/>
      <c r="M113" s="13"/>
      <c r="N113" s="20" t="str">
        <f>HYPERLINK("http://slimages.macys.com/is/image/MCY/19909631 ")</f>
        <v xml:space="preserve">http://slimages.macys.com/is/image/MCY/19909631 </v>
      </c>
    </row>
    <row r="114" spans="1:14" x14ac:dyDescent="0.25">
      <c r="A114" s="19" t="s">
        <v>2297</v>
      </c>
      <c r="B114" s="13" t="s">
        <v>2298</v>
      </c>
      <c r="C114" s="8">
        <v>2</v>
      </c>
      <c r="D114" s="9">
        <v>58.5</v>
      </c>
      <c r="E114" s="9">
        <v>117</v>
      </c>
      <c r="F114" s="8" t="s">
        <v>973</v>
      </c>
      <c r="G114" s="13" t="s">
        <v>124</v>
      </c>
      <c r="H114" s="19" t="s">
        <v>27</v>
      </c>
      <c r="I114" s="13" t="s">
        <v>11</v>
      </c>
      <c r="J114" s="13" t="s">
        <v>240</v>
      </c>
      <c r="K114" s="13" t="s">
        <v>241</v>
      </c>
      <c r="L114" s="13"/>
      <c r="M114" s="13"/>
      <c r="N114" s="20" t="str">
        <f>HYPERLINK("http://slimages.macys.com/is/image/MCY/19909628 ")</f>
        <v xml:space="preserve">http://slimages.macys.com/is/image/MCY/19909628 </v>
      </c>
    </row>
    <row r="115" spans="1:14" x14ac:dyDescent="0.25">
      <c r="A115" s="19" t="s">
        <v>982</v>
      </c>
      <c r="B115" s="13" t="s">
        <v>983</v>
      </c>
      <c r="C115" s="8">
        <v>1</v>
      </c>
      <c r="D115" s="9">
        <v>49.5</v>
      </c>
      <c r="E115" s="9">
        <v>49.5</v>
      </c>
      <c r="F115" s="8" t="s">
        <v>984</v>
      </c>
      <c r="G115" s="13" t="s">
        <v>31</v>
      </c>
      <c r="H115" s="19" t="s">
        <v>32</v>
      </c>
      <c r="I115" s="13" t="s">
        <v>11</v>
      </c>
      <c r="J115" s="13" t="s">
        <v>240</v>
      </c>
      <c r="K115" s="13" t="s">
        <v>241</v>
      </c>
      <c r="L115" s="13" t="s">
        <v>111</v>
      </c>
      <c r="M115" s="13" t="s">
        <v>985</v>
      </c>
      <c r="N115" s="20" t="str">
        <f>HYPERLINK("http://slimages.macys.com/is/image/MCY/3946355 ")</f>
        <v xml:space="preserve">http://slimages.macys.com/is/image/MCY/3946355 </v>
      </c>
    </row>
    <row r="116" spans="1:14" x14ac:dyDescent="0.25">
      <c r="A116" s="19" t="s">
        <v>3098</v>
      </c>
      <c r="B116" s="13" t="s">
        <v>3099</v>
      </c>
      <c r="C116" s="8">
        <v>1</v>
      </c>
      <c r="D116" s="9">
        <v>49.5</v>
      </c>
      <c r="E116" s="9">
        <v>49.5</v>
      </c>
      <c r="F116" s="8" t="s">
        <v>984</v>
      </c>
      <c r="G116" s="13" t="s">
        <v>31</v>
      </c>
      <c r="H116" s="19" t="s">
        <v>40</v>
      </c>
      <c r="I116" s="13" t="s">
        <v>11</v>
      </c>
      <c r="J116" s="13" t="s">
        <v>240</v>
      </c>
      <c r="K116" s="13" t="s">
        <v>241</v>
      </c>
      <c r="L116" s="13" t="s">
        <v>111</v>
      </c>
      <c r="M116" s="13" t="s">
        <v>985</v>
      </c>
      <c r="N116" s="20" t="str">
        <f>HYPERLINK("http://slimages.macys.com/is/image/MCY/3946355 ")</f>
        <v xml:space="preserve">http://slimages.macys.com/is/image/MCY/3946355 </v>
      </c>
    </row>
    <row r="117" spans="1:14" x14ac:dyDescent="0.25">
      <c r="A117" s="19" t="s">
        <v>3095</v>
      </c>
      <c r="B117" s="13" t="s">
        <v>3096</v>
      </c>
      <c r="C117" s="8">
        <v>1</v>
      </c>
      <c r="D117" s="9">
        <v>48</v>
      </c>
      <c r="E117" s="9">
        <v>48</v>
      </c>
      <c r="F117" s="8" t="s">
        <v>3097</v>
      </c>
      <c r="G117" s="13" t="s">
        <v>31</v>
      </c>
      <c r="H117" s="19" t="s">
        <v>255</v>
      </c>
      <c r="I117" s="13" t="s">
        <v>11</v>
      </c>
      <c r="J117" s="13" t="s">
        <v>240</v>
      </c>
      <c r="K117" s="13" t="s">
        <v>241</v>
      </c>
      <c r="L117" s="13" t="s">
        <v>111</v>
      </c>
      <c r="M117" s="13" t="s">
        <v>985</v>
      </c>
      <c r="N117" s="20" t="str">
        <f>HYPERLINK("http://slimages.macys.com/is/image/MCY/9038875 ")</f>
        <v xml:space="preserve">http://slimages.macys.com/is/image/MCY/9038875 </v>
      </c>
    </row>
    <row r="118" spans="1:14" x14ac:dyDescent="0.25">
      <c r="A118" s="19" t="s">
        <v>1187</v>
      </c>
      <c r="B118" s="13" t="s">
        <v>1188</v>
      </c>
      <c r="C118" s="8">
        <v>1</v>
      </c>
      <c r="D118" s="9">
        <v>51</v>
      </c>
      <c r="E118" s="9">
        <v>51</v>
      </c>
      <c r="F118" s="8" t="s">
        <v>1189</v>
      </c>
      <c r="G118" s="13" t="s">
        <v>31</v>
      </c>
      <c r="H118" s="19" t="s">
        <v>40</v>
      </c>
      <c r="I118" s="13" t="s">
        <v>11</v>
      </c>
      <c r="J118" s="13" t="s">
        <v>240</v>
      </c>
      <c r="K118" s="13" t="s">
        <v>241</v>
      </c>
      <c r="L118" s="13"/>
      <c r="M118" s="13"/>
      <c r="N118" s="20" t="str">
        <f>HYPERLINK("http://slimages.macys.com/is/image/MCY/19783793 ")</f>
        <v xml:space="preserve">http://slimages.macys.com/is/image/MCY/19783793 </v>
      </c>
    </row>
    <row r="119" spans="1:14" x14ac:dyDescent="0.25">
      <c r="A119" s="19" t="s">
        <v>350</v>
      </c>
      <c r="B119" s="13" t="s">
        <v>351</v>
      </c>
      <c r="C119" s="8">
        <v>1</v>
      </c>
      <c r="D119" s="9">
        <v>51</v>
      </c>
      <c r="E119" s="9">
        <v>51</v>
      </c>
      <c r="F119" s="8">
        <v>31915</v>
      </c>
      <c r="G119" s="13" t="s">
        <v>37</v>
      </c>
      <c r="H119" s="19" t="s">
        <v>40</v>
      </c>
      <c r="I119" s="13" t="s">
        <v>11</v>
      </c>
      <c r="J119" s="13" t="s">
        <v>343</v>
      </c>
      <c r="K119" s="13" t="s">
        <v>347</v>
      </c>
      <c r="L119" s="13"/>
      <c r="M119" s="13"/>
      <c r="N119" s="20" t="str">
        <f>HYPERLINK("http://slimages.macys.com/is/image/MCY/19962862 ")</f>
        <v xml:space="preserve">http://slimages.macys.com/is/image/MCY/19962862 </v>
      </c>
    </row>
    <row r="120" spans="1:14" x14ac:dyDescent="0.25">
      <c r="A120" s="19" t="s">
        <v>1027</v>
      </c>
      <c r="B120" s="13" t="s">
        <v>1028</v>
      </c>
      <c r="C120" s="8">
        <v>2</v>
      </c>
      <c r="D120" s="9">
        <v>54</v>
      </c>
      <c r="E120" s="9">
        <v>108</v>
      </c>
      <c r="F120" s="8">
        <v>21117</v>
      </c>
      <c r="G120" s="13" t="s">
        <v>349</v>
      </c>
      <c r="H120" s="19" t="s">
        <v>55</v>
      </c>
      <c r="I120" s="13" t="s">
        <v>11</v>
      </c>
      <c r="J120" s="13" t="s">
        <v>343</v>
      </c>
      <c r="K120" s="13" t="s">
        <v>347</v>
      </c>
      <c r="L120" s="13" t="s">
        <v>220</v>
      </c>
      <c r="M120" s="13" t="s">
        <v>1029</v>
      </c>
      <c r="N120" s="20" t="str">
        <f>HYPERLINK("http://images.bloomingdales.com/is/image/BLM/11394148 ")</f>
        <v xml:space="preserve">http://images.bloomingdales.com/is/image/BLM/11394148 </v>
      </c>
    </row>
    <row r="121" spans="1:14" x14ac:dyDescent="0.25">
      <c r="A121" s="19" t="s">
        <v>1277</v>
      </c>
      <c r="B121" s="13" t="s">
        <v>1278</v>
      </c>
      <c r="C121" s="8">
        <v>1</v>
      </c>
      <c r="D121" s="9">
        <v>28.99</v>
      </c>
      <c r="E121" s="9">
        <v>28.99</v>
      </c>
      <c r="F121" s="8" t="s">
        <v>1279</v>
      </c>
      <c r="G121" s="13" t="s">
        <v>135</v>
      </c>
      <c r="H121" s="19" t="s">
        <v>32</v>
      </c>
      <c r="I121" s="13" t="s">
        <v>11</v>
      </c>
      <c r="J121" s="13" t="s">
        <v>343</v>
      </c>
      <c r="K121" s="13" t="s">
        <v>372</v>
      </c>
      <c r="L121" s="13"/>
      <c r="M121" s="13"/>
      <c r="N121" s="20" t="str">
        <f>HYPERLINK("http://slimages.macys.com/is/image/MCY/19907141 ")</f>
        <v xml:space="preserve">http://slimages.macys.com/is/image/MCY/19907141 </v>
      </c>
    </row>
    <row r="122" spans="1:14" x14ac:dyDescent="0.25">
      <c r="A122" s="19" t="s">
        <v>1286</v>
      </c>
      <c r="B122" s="13" t="s">
        <v>1287</v>
      </c>
      <c r="C122" s="8">
        <v>1</v>
      </c>
      <c r="D122" s="9">
        <v>28.99</v>
      </c>
      <c r="E122" s="9">
        <v>28.99</v>
      </c>
      <c r="F122" s="8" t="s">
        <v>1288</v>
      </c>
      <c r="G122" s="13" t="s">
        <v>137</v>
      </c>
      <c r="H122" s="19" t="s">
        <v>55</v>
      </c>
      <c r="I122" s="13" t="s">
        <v>11</v>
      </c>
      <c r="J122" s="13" t="s">
        <v>343</v>
      </c>
      <c r="K122" s="13" t="s">
        <v>372</v>
      </c>
      <c r="L122" s="13"/>
      <c r="M122" s="13"/>
      <c r="N122" s="20" t="str">
        <f>HYPERLINK("http://slimages.macys.com/is/image/MCY/19907141 ")</f>
        <v xml:space="preserve">http://slimages.macys.com/is/image/MCY/19907141 </v>
      </c>
    </row>
    <row r="123" spans="1:14" x14ac:dyDescent="0.25">
      <c r="A123" s="19" t="s">
        <v>3221</v>
      </c>
      <c r="B123" s="13" t="s">
        <v>3222</v>
      </c>
      <c r="C123" s="8">
        <v>1</v>
      </c>
      <c r="D123" s="9">
        <v>24.99</v>
      </c>
      <c r="E123" s="9">
        <v>24.99</v>
      </c>
      <c r="F123" s="8" t="s">
        <v>3223</v>
      </c>
      <c r="G123" s="13" t="s">
        <v>86</v>
      </c>
      <c r="H123" s="19" t="s">
        <v>40</v>
      </c>
      <c r="I123" s="13" t="s">
        <v>11</v>
      </c>
      <c r="J123" s="13" t="s">
        <v>343</v>
      </c>
      <c r="K123" s="13" t="s">
        <v>372</v>
      </c>
      <c r="L123" s="13"/>
      <c r="M123" s="13"/>
      <c r="N123" s="20" t="str">
        <f>HYPERLINK("http://slimages.macys.com/is/image/MCY/19579489 ")</f>
        <v xml:space="preserve">http://slimages.macys.com/is/image/MCY/19579489 </v>
      </c>
    </row>
    <row r="124" spans="1:14" x14ac:dyDescent="0.25">
      <c r="A124" s="19" t="s">
        <v>3116</v>
      </c>
      <c r="B124" s="13" t="s">
        <v>3117</v>
      </c>
      <c r="C124" s="8">
        <v>1</v>
      </c>
      <c r="D124" s="9">
        <v>42.99</v>
      </c>
      <c r="E124" s="9">
        <v>42.99</v>
      </c>
      <c r="F124" s="8" t="s">
        <v>726</v>
      </c>
      <c r="G124" s="13" t="s">
        <v>31</v>
      </c>
      <c r="H124" s="19" t="s">
        <v>27</v>
      </c>
      <c r="I124" s="13" t="s">
        <v>11</v>
      </c>
      <c r="J124" s="13" t="s">
        <v>263</v>
      </c>
      <c r="K124" s="13" t="s">
        <v>264</v>
      </c>
      <c r="L124" s="13"/>
      <c r="M124" s="13"/>
      <c r="N124" s="20" t="str">
        <f>HYPERLINK("http://slimages.macys.com/is/image/MCY/18814755 ")</f>
        <v xml:space="preserve">http://slimages.macys.com/is/image/MCY/18814755 </v>
      </c>
    </row>
    <row r="125" spans="1:14" x14ac:dyDescent="0.25">
      <c r="A125" s="19" t="s">
        <v>1678</v>
      </c>
      <c r="B125" s="13" t="s">
        <v>3118</v>
      </c>
      <c r="C125" s="8">
        <v>1</v>
      </c>
      <c r="D125" s="9">
        <v>39.99</v>
      </c>
      <c r="E125" s="9">
        <v>39.99</v>
      </c>
      <c r="F125" s="8" t="s">
        <v>1679</v>
      </c>
      <c r="G125" s="13" t="s">
        <v>205</v>
      </c>
      <c r="H125" s="19" t="s">
        <v>40</v>
      </c>
      <c r="I125" s="13" t="s">
        <v>11</v>
      </c>
      <c r="J125" s="13" t="s">
        <v>263</v>
      </c>
      <c r="K125" s="13" t="s">
        <v>264</v>
      </c>
      <c r="L125" s="13"/>
      <c r="M125" s="13"/>
      <c r="N125" s="20" t="str">
        <f>HYPERLINK("http://slimages.macys.com/is/image/MCY/18445431 ")</f>
        <v xml:space="preserve">http://slimages.macys.com/is/image/MCY/18445431 </v>
      </c>
    </row>
    <row r="126" spans="1:14" x14ac:dyDescent="0.25">
      <c r="A126" s="19" t="s">
        <v>429</v>
      </c>
      <c r="B126" s="13" t="s">
        <v>430</v>
      </c>
      <c r="C126" s="8">
        <v>4</v>
      </c>
      <c r="D126" s="9">
        <v>40</v>
      </c>
      <c r="E126" s="9">
        <v>160</v>
      </c>
      <c r="F126" s="8">
        <v>100077742</v>
      </c>
      <c r="G126" s="13" t="s">
        <v>124</v>
      </c>
      <c r="H126" s="19" t="s">
        <v>32</v>
      </c>
      <c r="I126" s="13" t="s">
        <v>11</v>
      </c>
      <c r="J126" s="13" t="s">
        <v>427</v>
      </c>
      <c r="K126" s="13" t="s">
        <v>428</v>
      </c>
      <c r="L126" s="13" t="s">
        <v>111</v>
      </c>
      <c r="M126" s="13" t="s">
        <v>431</v>
      </c>
      <c r="N126" s="20" t="str">
        <f>HYPERLINK("http://slimages.macys.com/is/image/MCY/21262598 ")</f>
        <v xml:space="preserve">http://slimages.macys.com/is/image/MCY/21262598 </v>
      </c>
    </row>
    <row r="127" spans="1:14" x14ac:dyDescent="0.25">
      <c r="A127" s="19" t="s">
        <v>432</v>
      </c>
      <c r="B127" s="13" t="s">
        <v>433</v>
      </c>
      <c r="C127" s="8">
        <v>7</v>
      </c>
      <c r="D127" s="9">
        <v>40</v>
      </c>
      <c r="E127" s="9">
        <v>280</v>
      </c>
      <c r="F127" s="8">
        <v>100077742</v>
      </c>
      <c r="G127" s="13" t="s">
        <v>124</v>
      </c>
      <c r="H127" s="19" t="s">
        <v>40</v>
      </c>
      <c r="I127" s="13" t="s">
        <v>11</v>
      </c>
      <c r="J127" s="13" t="s">
        <v>427</v>
      </c>
      <c r="K127" s="13" t="s">
        <v>428</v>
      </c>
      <c r="L127" s="13" t="s">
        <v>111</v>
      </c>
      <c r="M127" s="13" t="s">
        <v>431</v>
      </c>
      <c r="N127" s="20" t="str">
        <f>HYPERLINK("http://slimages.macys.com/is/image/MCY/17534305 ")</f>
        <v xml:space="preserve">http://slimages.macys.com/is/image/MCY/17534305 </v>
      </c>
    </row>
    <row r="128" spans="1:14" x14ac:dyDescent="0.25">
      <c r="A128" s="19" t="s">
        <v>1816</v>
      </c>
      <c r="B128" s="13" t="s">
        <v>1817</v>
      </c>
      <c r="C128" s="8">
        <v>3</v>
      </c>
      <c r="D128" s="9">
        <v>40</v>
      </c>
      <c r="E128" s="9">
        <v>120</v>
      </c>
      <c r="F128" s="8">
        <v>100077742</v>
      </c>
      <c r="G128" s="13" t="s">
        <v>124</v>
      </c>
      <c r="H128" s="19" t="s">
        <v>55</v>
      </c>
      <c r="I128" s="13" t="s">
        <v>11</v>
      </c>
      <c r="J128" s="13" t="s">
        <v>427</v>
      </c>
      <c r="K128" s="13" t="s">
        <v>428</v>
      </c>
      <c r="L128" s="13" t="s">
        <v>111</v>
      </c>
      <c r="M128" s="13" t="s">
        <v>431</v>
      </c>
      <c r="N128" s="20" t="str">
        <f>HYPERLINK("http://slimages.macys.com/is/image/MCY/17534305 ")</f>
        <v xml:space="preserve">http://slimages.macys.com/is/image/MCY/17534305 </v>
      </c>
    </row>
    <row r="129" spans="1:14" x14ac:dyDescent="0.25">
      <c r="A129" s="19" t="s">
        <v>1355</v>
      </c>
      <c r="B129" s="13" t="s">
        <v>1356</v>
      </c>
      <c r="C129" s="8">
        <v>3</v>
      </c>
      <c r="D129" s="9">
        <v>40</v>
      </c>
      <c r="E129" s="9">
        <v>120</v>
      </c>
      <c r="F129" s="8">
        <v>100077742</v>
      </c>
      <c r="G129" s="13" t="s">
        <v>124</v>
      </c>
      <c r="H129" s="19" t="s">
        <v>27</v>
      </c>
      <c r="I129" s="13" t="s">
        <v>11</v>
      </c>
      <c r="J129" s="13" t="s">
        <v>427</v>
      </c>
      <c r="K129" s="13" t="s">
        <v>428</v>
      </c>
      <c r="L129" s="13" t="s">
        <v>111</v>
      </c>
      <c r="M129" s="13" t="s">
        <v>431</v>
      </c>
      <c r="N129" s="20" t="str">
        <f>HYPERLINK("http://slimages.macys.com/is/image/MCY/17534305 ")</f>
        <v xml:space="preserve">http://slimages.macys.com/is/image/MCY/17534305 </v>
      </c>
    </row>
    <row r="130" spans="1:14" x14ac:dyDescent="0.25">
      <c r="A130" s="19" t="s">
        <v>425</v>
      </c>
      <c r="B130" s="13" t="s">
        <v>426</v>
      </c>
      <c r="C130" s="8">
        <v>2</v>
      </c>
      <c r="D130" s="9">
        <v>40</v>
      </c>
      <c r="E130" s="9">
        <v>80</v>
      </c>
      <c r="F130" s="8">
        <v>100077742</v>
      </c>
      <c r="G130" s="13" t="s">
        <v>124</v>
      </c>
      <c r="H130" s="19" t="s">
        <v>87</v>
      </c>
      <c r="I130" s="13" t="s">
        <v>11</v>
      </c>
      <c r="J130" s="13" t="s">
        <v>427</v>
      </c>
      <c r="K130" s="13" t="s">
        <v>428</v>
      </c>
      <c r="L130" s="13"/>
      <c r="M130" s="13"/>
      <c r="N130" s="20" t="str">
        <f>HYPERLINK("http://slimages.macys.com/is/image/MCY/21028130 ")</f>
        <v xml:space="preserve">http://slimages.macys.com/is/image/MCY/21028130 </v>
      </c>
    </row>
    <row r="131" spans="1:14" x14ac:dyDescent="0.25">
      <c r="A131" s="19" t="s">
        <v>2041</v>
      </c>
      <c r="B131" s="13" t="s">
        <v>2042</v>
      </c>
      <c r="C131" s="8">
        <v>1</v>
      </c>
      <c r="D131" s="9">
        <v>40</v>
      </c>
      <c r="E131" s="9">
        <v>40</v>
      </c>
      <c r="F131" s="8">
        <v>100131764</v>
      </c>
      <c r="G131" s="13" t="s">
        <v>76</v>
      </c>
      <c r="H131" s="19" t="s">
        <v>40</v>
      </c>
      <c r="I131" s="13" t="s">
        <v>11</v>
      </c>
      <c r="J131" s="13" t="s">
        <v>427</v>
      </c>
      <c r="K131" s="13" t="s">
        <v>428</v>
      </c>
      <c r="L131" s="13"/>
      <c r="M131" s="13"/>
      <c r="N131" s="20" t="str">
        <f>HYPERLINK("http://slimages.macys.com/is/image/MCY/19817424 ")</f>
        <v xml:space="preserve">http://slimages.macys.com/is/image/MCY/19817424 </v>
      </c>
    </row>
    <row r="132" spans="1:14" x14ac:dyDescent="0.25">
      <c r="A132" s="19" t="s">
        <v>779</v>
      </c>
      <c r="B132" s="13" t="s">
        <v>780</v>
      </c>
      <c r="C132" s="8">
        <v>1</v>
      </c>
      <c r="D132" s="9">
        <v>40</v>
      </c>
      <c r="E132" s="9">
        <v>40</v>
      </c>
      <c r="F132" s="8">
        <v>100131764</v>
      </c>
      <c r="G132" s="13" t="s">
        <v>76</v>
      </c>
      <c r="H132" s="19" t="s">
        <v>55</v>
      </c>
      <c r="I132" s="13" t="s">
        <v>11</v>
      </c>
      <c r="J132" s="13" t="s">
        <v>427</v>
      </c>
      <c r="K132" s="13" t="s">
        <v>428</v>
      </c>
      <c r="L132" s="13"/>
      <c r="M132" s="13"/>
      <c r="N132" s="20" t="str">
        <f>HYPERLINK("http://slimages.macys.com/is/image/MCY/19817424 ")</f>
        <v xml:space="preserve">http://slimages.macys.com/is/image/MCY/19817424 </v>
      </c>
    </row>
    <row r="133" spans="1:14" x14ac:dyDescent="0.25">
      <c r="A133" s="19" t="s">
        <v>441</v>
      </c>
      <c r="B133" s="13" t="s">
        <v>442</v>
      </c>
      <c r="C133" s="8">
        <v>1</v>
      </c>
      <c r="D133" s="9">
        <v>19.989999999999998</v>
      </c>
      <c r="E133" s="9">
        <v>19.989999999999998</v>
      </c>
      <c r="F133" s="8">
        <v>100137976</v>
      </c>
      <c r="G133" s="13" t="s">
        <v>37</v>
      </c>
      <c r="H133" s="19" t="s">
        <v>32</v>
      </c>
      <c r="I133" s="13" t="s">
        <v>11</v>
      </c>
      <c r="J133" s="13" t="s">
        <v>427</v>
      </c>
      <c r="K133" s="13" t="s">
        <v>428</v>
      </c>
      <c r="L133" s="13"/>
      <c r="M133" s="13"/>
      <c r="N133" s="20" t="str">
        <f>HYPERLINK("http://slimages.macys.com/is/image/MCY/19877241 ")</f>
        <v xml:space="preserve">http://slimages.macys.com/is/image/MCY/19877241 </v>
      </c>
    </row>
    <row r="134" spans="1:14" x14ac:dyDescent="0.25">
      <c r="A134" s="19" t="s">
        <v>445</v>
      </c>
      <c r="B134" s="13" t="s">
        <v>446</v>
      </c>
      <c r="C134" s="8">
        <v>3</v>
      </c>
      <c r="D134" s="9">
        <v>19.989999999999998</v>
      </c>
      <c r="E134" s="9">
        <v>59.97</v>
      </c>
      <c r="F134" s="8">
        <v>100137976</v>
      </c>
      <c r="G134" s="13" t="s">
        <v>37</v>
      </c>
      <c r="H134" s="19" t="s">
        <v>40</v>
      </c>
      <c r="I134" s="13" t="s">
        <v>11</v>
      </c>
      <c r="J134" s="13" t="s">
        <v>427</v>
      </c>
      <c r="K134" s="13" t="s">
        <v>428</v>
      </c>
      <c r="L134" s="13"/>
      <c r="M134" s="13"/>
      <c r="N134" s="20" t="str">
        <f>HYPERLINK("http://slimages.macys.com/is/image/MCY/19877241 ")</f>
        <v xml:space="preserve">http://slimages.macys.com/is/image/MCY/19877241 </v>
      </c>
    </row>
    <row r="135" spans="1:14" x14ac:dyDescent="0.25">
      <c r="A135" s="19" t="s">
        <v>443</v>
      </c>
      <c r="B135" s="13" t="s">
        <v>444</v>
      </c>
      <c r="C135" s="8">
        <v>1</v>
      </c>
      <c r="D135" s="9">
        <v>19.989999999999998</v>
      </c>
      <c r="E135" s="9">
        <v>19.989999999999998</v>
      </c>
      <c r="F135" s="8">
        <v>100137976</v>
      </c>
      <c r="G135" s="13" t="s">
        <v>37</v>
      </c>
      <c r="H135" s="19" t="s">
        <v>55</v>
      </c>
      <c r="I135" s="13" t="s">
        <v>11</v>
      </c>
      <c r="J135" s="13" t="s">
        <v>427</v>
      </c>
      <c r="K135" s="13" t="s">
        <v>428</v>
      </c>
      <c r="L135" s="13"/>
      <c r="M135" s="13"/>
      <c r="N135" s="20" t="str">
        <f>HYPERLINK("http://slimages.macys.com/is/image/MCY/19877241 ")</f>
        <v xml:space="preserve">http://slimages.macys.com/is/image/MCY/19877241 </v>
      </c>
    </row>
    <row r="136" spans="1:14" x14ac:dyDescent="0.25">
      <c r="A136" s="19" t="s">
        <v>1779</v>
      </c>
      <c r="B136" s="13" t="s">
        <v>1780</v>
      </c>
      <c r="C136" s="8">
        <v>1</v>
      </c>
      <c r="D136" s="9">
        <v>19.989999999999998</v>
      </c>
      <c r="E136" s="9">
        <v>19.989999999999998</v>
      </c>
      <c r="F136" s="8">
        <v>100137976</v>
      </c>
      <c r="G136" s="13" t="s">
        <v>37</v>
      </c>
      <c r="H136" s="19" t="s">
        <v>27</v>
      </c>
      <c r="I136" s="13" t="s">
        <v>11</v>
      </c>
      <c r="J136" s="13" t="s">
        <v>427</v>
      </c>
      <c r="K136" s="13" t="s">
        <v>428</v>
      </c>
      <c r="L136" s="13"/>
      <c r="M136" s="13"/>
      <c r="N136" s="20" t="str">
        <f>HYPERLINK("http://slimages.macys.com/is/image/MCY/19877243 ")</f>
        <v xml:space="preserve">http://slimages.macys.com/is/image/MCY/19877243 </v>
      </c>
    </row>
    <row r="137" spans="1:14" x14ac:dyDescent="0.25">
      <c r="A137" s="19" t="s">
        <v>1777</v>
      </c>
      <c r="B137" s="13" t="s">
        <v>1778</v>
      </c>
      <c r="C137" s="8">
        <v>2</v>
      </c>
      <c r="D137" s="9">
        <v>19.989999999999998</v>
      </c>
      <c r="E137" s="9">
        <v>39.979999999999997</v>
      </c>
      <c r="F137" s="8">
        <v>100137976</v>
      </c>
      <c r="G137" s="13" t="s">
        <v>37</v>
      </c>
      <c r="H137" s="19" t="s">
        <v>87</v>
      </c>
      <c r="I137" s="13" t="s">
        <v>11</v>
      </c>
      <c r="J137" s="13" t="s">
        <v>427</v>
      </c>
      <c r="K137" s="13" t="s">
        <v>428</v>
      </c>
      <c r="L137" s="13"/>
      <c r="M137" s="13"/>
      <c r="N137" s="20" t="str">
        <f>HYPERLINK("http://slimages.macys.com/is/image/MCY/19877241 ")</f>
        <v xml:space="preserve">http://slimages.macys.com/is/image/MCY/19877241 </v>
      </c>
    </row>
    <row r="138" spans="1:14" x14ac:dyDescent="0.25">
      <c r="A138" s="19" t="s">
        <v>789</v>
      </c>
      <c r="B138" s="13" t="s">
        <v>790</v>
      </c>
      <c r="C138" s="8">
        <v>3</v>
      </c>
      <c r="D138" s="9">
        <v>19.989999999999998</v>
      </c>
      <c r="E138" s="9">
        <v>59.97</v>
      </c>
      <c r="F138" s="8">
        <v>100117215</v>
      </c>
      <c r="G138" s="13" t="s">
        <v>202</v>
      </c>
      <c r="H138" s="19" t="s">
        <v>32</v>
      </c>
      <c r="I138" s="13" t="s">
        <v>11</v>
      </c>
      <c r="J138" s="13" t="s">
        <v>427</v>
      </c>
      <c r="K138" s="13" t="s">
        <v>428</v>
      </c>
      <c r="L138" s="13"/>
      <c r="M138" s="13"/>
      <c r="N138" s="20" t="str">
        <f t="shared" ref="N138:N145" si="2">HYPERLINK("http://slimages.macys.com/is/image/MCY/1059719 ")</f>
        <v xml:space="preserve">http://slimages.macys.com/is/image/MCY/1059719 </v>
      </c>
    </row>
    <row r="139" spans="1:14" x14ac:dyDescent="0.25">
      <c r="A139" s="19" t="s">
        <v>3239</v>
      </c>
      <c r="B139" s="13" t="s">
        <v>3240</v>
      </c>
      <c r="C139" s="8">
        <v>2</v>
      </c>
      <c r="D139" s="9">
        <v>19.989999999999998</v>
      </c>
      <c r="E139" s="9">
        <v>39.979999999999997</v>
      </c>
      <c r="F139" s="8">
        <v>100117215</v>
      </c>
      <c r="G139" s="13" t="s">
        <v>202</v>
      </c>
      <c r="H139" s="19" t="s">
        <v>40</v>
      </c>
      <c r="I139" s="13" t="s">
        <v>11</v>
      </c>
      <c r="J139" s="13" t="s">
        <v>427</v>
      </c>
      <c r="K139" s="13" t="s">
        <v>428</v>
      </c>
      <c r="L139" s="13"/>
      <c r="M139" s="13"/>
      <c r="N139" s="20" t="str">
        <f t="shared" si="2"/>
        <v xml:space="preserve">http://slimages.macys.com/is/image/MCY/1059719 </v>
      </c>
    </row>
    <row r="140" spans="1:14" x14ac:dyDescent="0.25">
      <c r="A140" s="19" t="s">
        <v>791</v>
      </c>
      <c r="B140" s="13" t="s">
        <v>792</v>
      </c>
      <c r="C140" s="8">
        <v>1</v>
      </c>
      <c r="D140" s="9">
        <v>19.989999999999998</v>
      </c>
      <c r="E140" s="9">
        <v>19.989999999999998</v>
      </c>
      <c r="F140" s="8">
        <v>100117215</v>
      </c>
      <c r="G140" s="13" t="s">
        <v>202</v>
      </c>
      <c r="H140" s="19" t="s">
        <v>55</v>
      </c>
      <c r="I140" s="13" t="s">
        <v>11</v>
      </c>
      <c r="J140" s="13" t="s">
        <v>427</v>
      </c>
      <c r="K140" s="13" t="s">
        <v>428</v>
      </c>
      <c r="L140" s="13"/>
      <c r="M140" s="13"/>
      <c r="N140" s="20" t="str">
        <f t="shared" si="2"/>
        <v xml:space="preserve">http://slimages.macys.com/is/image/MCY/1059719 </v>
      </c>
    </row>
    <row r="141" spans="1:14" x14ac:dyDescent="0.25">
      <c r="A141" s="19" t="s">
        <v>793</v>
      </c>
      <c r="B141" s="13" t="s">
        <v>794</v>
      </c>
      <c r="C141" s="8">
        <v>1</v>
      </c>
      <c r="D141" s="9">
        <v>19.989999999999998</v>
      </c>
      <c r="E141" s="9">
        <v>19.989999999999998</v>
      </c>
      <c r="F141" s="8">
        <v>100117215</v>
      </c>
      <c r="G141" s="13" t="s">
        <v>202</v>
      </c>
      <c r="H141" s="19" t="s">
        <v>27</v>
      </c>
      <c r="I141" s="13" t="s">
        <v>11</v>
      </c>
      <c r="J141" s="13" t="s">
        <v>427</v>
      </c>
      <c r="K141" s="13" t="s">
        <v>428</v>
      </c>
      <c r="L141" s="13"/>
      <c r="M141" s="13"/>
      <c r="N141" s="20" t="str">
        <f t="shared" si="2"/>
        <v xml:space="preserve">http://slimages.macys.com/is/image/MCY/1059719 </v>
      </c>
    </row>
    <row r="142" spans="1:14" x14ac:dyDescent="0.25">
      <c r="A142" s="19" t="s">
        <v>3247</v>
      </c>
      <c r="B142" s="13" t="s">
        <v>3248</v>
      </c>
      <c r="C142" s="8">
        <v>1</v>
      </c>
      <c r="D142" s="9">
        <v>19.989999999999998</v>
      </c>
      <c r="E142" s="9">
        <v>19.989999999999998</v>
      </c>
      <c r="F142" s="8">
        <v>100117215</v>
      </c>
      <c r="G142" s="13" t="s">
        <v>202</v>
      </c>
      <c r="H142" s="19" t="s">
        <v>87</v>
      </c>
      <c r="I142" s="13" t="s">
        <v>11</v>
      </c>
      <c r="J142" s="13" t="s">
        <v>427</v>
      </c>
      <c r="K142" s="13" t="s">
        <v>428</v>
      </c>
      <c r="L142" s="13"/>
      <c r="M142" s="13"/>
      <c r="N142" s="20" t="str">
        <f t="shared" si="2"/>
        <v xml:space="preserve">http://slimages.macys.com/is/image/MCY/1059719 </v>
      </c>
    </row>
    <row r="143" spans="1:14" x14ac:dyDescent="0.25">
      <c r="A143" s="19" t="s">
        <v>1367</v>
      </c>
      <c r="B143" s="13" t="s">
        <v>1368</v>
      </c>
      <c r="C143" s="8">
        <v>1</v>
      </c>
      <c r="D143" s="9">
        <v>19.989999999999998</v>
      </c>
      <c r="E143" s="9">
        <v>19.989999999999998</v>
      </c>
      <c r="F143" s="8">
        <v>100117215</v>
      </c>
      <c r="G143" s="13" t="s">
        <v>205</v>
      </c>
      <c r="H143" s="19" t="s">
        <v>32</v>
      </c>
      <c r="I143" s="13" t="s">
        <v>11</v>
      </c>
      <c r="J143" s="13" t="s">
        <v>427</v>
      </c>
      <c r="K143" s="13" t="s">
        <v>428</v>
      </c>
      <c r="L143" s="13"/>
      <c r="M143" s="13"/>
      <c r="N143" s="20" t="str">
        <f t="shared" si="2"/>
        <v xml:space="preserve">http://slimages.macys.com/is/image/MCY/1059719 </v>
      </c>
    </row>
    <row r="144" spans="1:14" x14ac:dyDescent="0.25">
      <c r="A144" s="19" t="s">
        <v>437</v>
      </c>
      <c r="B144" s="13" t="s">
        <v>438</v>
      </c>
      <c r="C144" s="8">
        <v>2</v>
      </c>
      <c r="D144" s="9">
        <v>19.989999999999998</v>
      </c>
      <c r="E144" s="9">
        <v>39.979999999999997</v>
      </c>
      <c r="F144" s="8">
        <v>100117215</v>
      </c>
      <c r="G144" s="13" t="s">
        <v>205</v>
      </c>
      <c r="H144" s="19" t="s">
        <v>40</v>
      </c>
      <c r="I144" s="13" t="s">
        <v>11</v>
      </c>
      <c r="J144" s="13" t="s">
        <v>427</v>
      </c>
      <c r="K144" s="13" t="s">
        <v>428</v>
      </c>
      <c r="L144" s="13"/>
      <c r="M144" s="13"/>
      <c r="N144" s="20" t="str">
        <f t="shared" si="2"/>
        <v xml:space="preserve">http://slimages.macys.com/is/image/MCY/1059719 </v>
      </c>
    </row>
    <row r="145" spans="1:14" x14ac:dyDescent="0.25">
      <c r="A145" s="19" t="s">
        <v>1708</v>
      </c>
      <c r="B145" s="13" t="s">
        <v>1776</v>
      </c>
      <c r="C145" s="8">
        <v>1</v>
      </c>
      <c r="D145" s="9">
        <v>19.989999999999998</v>
      </c>
      <c r="E145" s="9">
        <v>19.989999999999998</v>
      </c>
      <c r="F145" s="8">
        <v>100117215</v>
      </c>
      <c r="G145" s="13" t="s">
        <v>205</v>
      </c>
      <c r="H145" s="19" t="s">
        <v>27</v>
      </c>
      <c r="I145" s="13" t="s">
        <v>11</v>
      </c>
      <c r="J145" s="13" t="s">
        <v>427</v>
      </c>
      <c r="K145" s="13" t="s">
        <v>428</v>
      </c>
      <c r="L145" s="13"/>
      <c r="M145" s="13"/>
      <c r="N145" s="20" t="str">
        <f t="shared" si="2"/>
        <v xml:space="preserve">http://slimages.macys.com/is/image/MCY/1059719 </v>
      </c>
    </row>
    <row r="146" spans="1:14" x14ac:dyDescent="0.25">
      <c r="A146" s="19" t="s">
        <v>1365</v>
      </c>
      <c r="B146" s="13" t="s">
        <v>1366</v>
      </c>
      <c r="C146" s="8">
        <v>1</v>
      </c>
      <c r="D146" s="9">
        <v>19.989999999999998</v>
      </c>
      <c r="E146" s="9">
        <v>19.989999999999998</v>
      </c>
      <c r="F146" s="8">
        <v>100117215</v>
      </c>
      <c r="G146" s="13" t="s">
        <v>205</v>
      </c>
      <c r="H146" s="19" t="s">
        <v>87</v>
      </c>
      <c r="I146" s="13" t="s">
        <v>11</v>
      </c>
      <c r="J146" s="13" t="s">
        <v>427</v>
      </c>
      <c r="K146" s="13" t="s">
        <v>428</v>
      </c>
      <c r="L146" s="13"/>
      <c r="M146" s="13"/>
      <c r="N146" s="20" t="str">
        <f>HYPERLINK("http://slimages.macys.com/is/image/MCY/19278365 ")</f>
        <v xml:space="preserve">http://slimages.macys.com/is/image/MCY/19278365 </v>
      </c>
    </row>
    <row r="147" spans="1:14" x14ac:dyDescent="0.25">
      <c r="A147" s="19" t="s">
        <v>787</v>
      </c>
      <c r="B147" s="13" t="s">
        <v>788</v>
      </c>
      <c r="C147" s="8">
        <v>2</v>
      </c>
      <c r="D147" s="9">
        <v>19.989999999999998</v>
      </c>
      <c r="E147" s="9">
        <v>39.979999999999997</v>
      </c>
      <c r="F147" s="8">
        <v>100117215</v>
      </c>
      <c r="G147" s="13" t="s">
        <v>57</v>
      </c>
      <c r="H147" s="19" t="s">
        <v>32</v>
      </c>
      <c r="I147" s="13" t="s">
        <v>11</v>
      </c>
      <c r="J147" s="13" t="s">
        <v>427</v>
      </c>
      <c r="K147" s="13" t="s">
        <v>428</v>
      </c>
      <c r="L147" s="13"/>
      <c r="M147" s="13"/>
      <c r="N147" s="20" t="str">
        <f>HYPERLINK("http://slimages.macys.com/is/image/MCY/1059719 ")</f>
        <v xml:space="preserve">http://slimages.macys.com/is/image/MCY/1059719 </v>
      </c>
    </row>
    <row r="148" spans="1:14" x14ac:dyDescent="0.25">
      <c r="A148" s="19" t="s">
        <v>3245</v>
      </c>
      <c r="B148" s="13" t="s">
        <v>3246</v>
      </c>
      <c r="C148" s="8">
        <v>1</v>
      </c>
      <c r="D148" s="9">
        <v>19.989999999999998</v>
      </c>
      <c r="E148" s="9">
        <v>19.989999999999998</v>
      </c>
      <c r="F148" s="8">
        <v>100117215</v>
      </c>
      <c r="G148" s="13" t="s">
        <v>174</v>
      </c>
      <c r="H148" s="19" t="s">
        <v>55</v>
      </c>
      <c r="I148" s="13" t="s">
        <v>11</v>
      </c>
      <c r="J148" s="13" t="s">
        <v>427</v>
      </c>
      <c r="K148" s="13" t="s">
        <v>428</v>
      </c>
      <c r="L148" s="13"/>
      <c r="M148" s="13"/>
      <c r="N148" s="20" t="str">
        <f>HYPERLINK("http://slimages.macys.com/is/image/MCY/20549944 ")</f>
        <v xml:space="preserve">http://slimages.macys.com/is/image/MCY/20549944 </v>
      </c>
    </row>
    <row r="149" spans="1:14" x14ac:dyDescent="0.25">
      <c r="A149" s="19" t="s">
        <v>1774</v>
      </c>
      <c r="B149" s="13" t="s">
        <v>1775</v>
      </c>
      <c r="C149" s="8">
        <v>1</v>
      </c>
      <c r="D149" s="9">
        <v>19.989999999999998</v>
      </c>
      <c r="E149" s="9">
        <v>19.989999999999998</v>
      </c>
      <c r="F149" s="8">
        <v>100117215</v>
      </c>
      <c r="G149" s="13" t="s">
        <v>104</v>
      </c>
      <c r="H149" s="19" t="s">
        <v>40</v>
      </c>
      <c r="I149" s="13" t="s">
        <v>11</v>
      </c>
      <c r="J149" s="13" t="s">
        <v>427</v>
      </c>
      <c r="K149" s="13" t="s">
        <v>428</v>
      </c>
      <c r="L149" s="13"/>
      <c r="M149" s="13"/>
      <c r="N149" s="20" t="str">
        <f>HYPERLINK("http://slimages.macys.com/is/image/MCY/18995857 ")</f>
        <v xml:space="preserve">http://slimages.macys.com/is/image/MCY/18995857 </v>
      </c>
    </row>
    <row r="150" spans="1:14" x14ac:dyDescent="0.25">
      <c r="A150" s="19" t="s">
        <v>3241</v>
      </c>
      <c r="B150" s="13" t="s">
        <v>3242</v>
      </c>
      <c r="C150" s="8">
        <v>1</v>
      </c>
      <c r="D150" s="9">
        <v>19.989999999999998</v>
      </c>
      <c r="E150" s="9">
        <v>19.989999999999998</v>
      </c>
      <c r="F150" s="8">
        <v>100117215</v>
      </c>
      <c r="G150" s="13" t="s">
        <v>104</v>
      </c>
      <c r="H150" s="19" t="s">
        <v>55</v>
      </c>
      <c r="I150" s="13" t="s">
        <v>11</v>
      </c>
      <c r="J150" s="13" t="s">
        <v>427</v>
      </c>
      <c r="K150" s="13" t="s">
        <v>428</v>
      </c>
      <c r="L150" s="13"/>
      <c r="M150" s="13"/>
      <c r="N150" s="20" t="str">
        <f>HYPERLINK("http://slimages.macys.com/is/image/MCY/20549944 ")</f>
        <v xml:space="preserve">http://slimages.macys.com/is/image/MCY/20549944 </v>
      </c>
    </row>
    <row r="151" spans="1:14" x14ac:dyDescent="0.25">
      <c r="A151" s="19" t="s">
        <v>1369</v>
      </c>
      <c r="B151" s="13" t="s">
        <v>1370</v>
      </c>
      <c r="C151" s="8">
        <v>1</v>
      </c>
      <c r="D151" s="9">
        <v>19.989999999999998</v>
      </c>
      <c r="E151" s="9">
        <v>19.989999999999998</v>
      </c>
      <c r="F151" s="8">
        <v>100117215</v>
      </c>
      <c r="G151" s="13" t="s">
        <v>104</v>
      </c>
      <c r="H151" s="19" t="s">
        <v>27</v>
      </c>
      <c r="I151" s="13" t="s">
        <v>11</v>
      </c>
      <c r="J151" s="13" t="s">
        <v>427</v>
      </c>
      <c r="K151" s="13" t="s">
        <v>428</v>
      </c>
      <c r="L151" s="13"/>
      <c r="M151" s="13"/>
      <c r="N151" s="20" t="str">
        <f>HYPERLINK("http://slimages.macys.com/is/image/MCY/20549944 ")</f>
        <v xml:space="preserve">http://slimages.macys.com/is/image/MCY/20549944 </v>
      </c>
    </row>
    <row r="152" spans="1:14" x14ac:dyDescent="0.25">
      <c r="A152" s="19" t="s">
        <v>3243</v>
      </c>
      <c r="B152" s="13" t="s">
        <v>3244</v>
      </c>
      <c r="C152" s="8">
        <v>1</v>
      </c>
      <c r="D152" s="9">
        <v>19.989999999999998</v>
      </c>
      <c r="E152" s="9">
        <v>19.989999999999998</v>
      </c>
      <c r="F152" s="8">
        <v>100117215</v>
      </c>
      <c r="G152" s="13" t="s">
        <v>104</v>
      </c>
      <c r="H152" s="19" t="s">
        <v>87</v>
      </c>
      <c r="I152" s="13" t="s">
        <v>11</v>
      </c>
      <c r="J152" s="13" t="s">
        <v>427</v>
      </c>
      <c r="K152" s="13" t="s">
        <v>428</v>
      </c>
      <c r="L152" s="13"/>
      <c r="M152" s="13"/>
      <c r="N152" s="20" t="str">
        <f>HYPERLINK("http://slimages.macys.com/is/image/MCY/20549944 ")</f>
        <v xml:space="preserve">http://slimages.macys.com/is/image/MCY/20549944 </v>
      </c>
    </row>
    <row r="153" spans="1:14" x14ac:dyDescent="0.25">
      <c r="A153" s="19" t="s">
        <v>3237</v>
      </c>
      <c r="B153" s="13" t="s">
        <v>3238</v>
      </c>
      <c r="C153" s="8">
        <v>1</v>
      </c>
      <c r="D153" s="9">
        <v>24</v>
      </c>
      <c r="E153" s="9">
        <v>24</v>
      </c>
      <c r="F153" s="8">
        <v>100122811</v>
      </c>
      <c r="G153" s="13" t="s">
        <v>205</v>
      </c>
      <c r="H153" s="19" t="s">
        <v>87</v>
      </c>
      <c r="I153" s="13" t="s">
        <v>11</v>
      </c>
      <c r="J153" s="13" t="s">
        <v>427</v>
      </c>
      <c r="K153" s="13" t="s">
        <v>428</v>
      </c>
      <c r="L153" s="13"/>
      <c r="M153" s="13"/>
      <c r="N153" s="20" t="str">
        <f>HYPERLINK("http://slimages.macys.com/is/image/MCY/18773551 ")</f>
        <v xml:space="preserve">http://slimages.macys.com/is/image/MCY/18773551 </v>
      </c>
    </row>
    <row r="154" spans="1:14" x14ac:dyDescent="0.25">
      <c r="A154" s="19" t="s">
        <v>455</v>
      </c>
      <c r="B154" s="13" t="s">
        <v>456</v>
      </c>
      <c r="C154" s="8">
        <v>1</v>
      </c>
      <c r="D154" s="9">
        <v>5.6</v>
      </c>
      <c r="E154" s="9">
        <v>5.6</v>
      </c>
      <c r="F154" s="8">
        <v>100117216</v>
      </c>
      <c r="G154" s="13" t="s">
        <v>104</v>
      </c>
      <c r="H154" s="19" t="s">
        <v>27</v>
      </c>
      <c r="I154" s="13" t="s">
        <v>11</v>
      </c>
      <c r="J154" s="13" t="s">
        <v>427</v>
      </c>
      <c r="K154" s="13" t="s">
        <v>428</v>
      </c>
      <c r="L154" s="13"/>
      <c r="M154" s="13"/>
      <c r="N154" s="20" t="str">
        <f>HYPERLINK("http://slimages.macys.com/is/image/MCY/20549906 ")</f>
        <v xml:space="preserve">http://slimages.macys.com/is/image/MCY/20549906 </v>
      </c>
    </row>
    <row r="155" spans="1:14" x14ac:dyDescent="0.25">
      <c r="A155" s="19" t="s">
        <v>3210</v>
      </c>
      <c r="B155" s="13" t="s">
        <v>3211</v>
      </c>
      <c r="C155" s="8">
        <v>1</v>
      </c>
      <c r="D155" s="9">
        <v>48</v>
      </c>
      <c r="E155" s="9">
        <v>48</v>
      </c>
      <c r="F155" s="8" t="s">
        <v>1815</v>
      </c>
      <c r="G155" s="13" t="s">
        <v>107</v>
      </c>
      <c r="H155" s="19" t="s">
        <v>27</v>
      </c>
      <c r="I155" s="13" t="s">
        <v>11</v>
      </c>
      <c r="J155" s="13" t="s">
        <v>343</v>
      </c>
      <c r="K155" s="13" t="s">
        <v>358</v>
      </c>
      <c r="L155" s="13"/>
      <c r="M155" s="13"/>
      <c r="N155" s="20" t="str">
        <f>HYPERLINK("http://slimages.macys.com/is/image/MCY/17786299 ")</f>
        <v xml:space="preserve">http://slimages.macys.com/is/image/MCY/17786299 </v>
      </c>
    </row>
    <row r="156" spans="1:14" x14ac:dyDescent="0.25">
      <c r="A156" s="19" t="s">
        <v>3208</v>
      </c>
      <c r="B156" s="13" t="s">
        <v>3209</v>
      </c>
      <c r="C156" s="8">
        <v>1</v>
      </c>
      <c r="D156" s="9">
        <v>48</v>
      </c>
      <c r="E156" s="9">
        <v>48</v>
      </c>
      <c r="F156" s="8" t="s">
        <v>1815</v>
      </c>
      <c r="G156" s="13" t="s">
        <v>378</v>
      </c>
      <c r="H156" s="19" t="s">
        <v>27</v>
      </c>
      <c r="I156" s="13" t="s">
        <v>11</v>
      </c>
      <c r="J156" s="13" t="s">
        <v>343</v>
      </c>
      <c r="K156" s="13" t="s">
        <v>358</v>
      </c>
      <c r="L156" s="13"/>
      <c r="M156" s="13"/>
      <c r="N156" s="20" t="str">
        <f>HYPERLINK("http://slimages.macys.com/is/image/MCY/17786300 ")</f>
        <v xml:space="preserve">http://slimages.macys.com/is/image/MCY/17786300 </v>
      </c>
    </row>
    <row r="157" spans="1:14" x14ac:dyDescent="0.25">
      <c r="A157" s="19" t="s">
        <v>3214</v>
      </c>
      <c r="B157" s="13" t="s">
        <v>3215</v>
      </c>
      <c r="C157" s="8">
        <v>2</v>
      </c>
      <c r="D157" s="9">
        <v>48</v>
      </c>
      <c r="E157" s="9">
        <v>96</v>
      </c>
      <c r="F157" s="8" t="s">
        <v>1815</v>
      </c>
      <c r="G157" s="13" t="s">
        <v>174</v>
      </c>
      <c r="H157" s="19" t="s">
        <v>32</v>
      </c>
      <c r="I157" s="13" t="s">
        <v>11</v>
      </c>
      <c r="J157" s="13" t="s">
        <v>343</v>
      </c>
      <c r="K157" s="13" t="s">
        <v>358</v>
      </c>
      <c r="L157" s="13"/>
      <c r="M157" s="13"/>
      <c r="N157" s="20" t="str">
        <f>HYPERLINK("http://slimages.macys.com/is/image/MCY/17786299 ")</f>
        <v xml:space="preserve">http://slimages.macys.com/is/image/MCY/17786299 </v>
      </c>
    </row>
    <row r="158" spans="1:14" x14ac:dyDescent="0.25">
      <c r="A158" s="19" t="s">
        <v>3212</v>
      </c>
      <c r="B158" s="13" t="s">
        <v>3213</v>
      </c>
      <c r="C158" s="8">
        <v>1</v>
      </c>
      <c r="D158" s="9">
        <v>48</v>
      </c>
      <c r="E158" s="9">
        <v>48</v>
      </c>
      <c r="F158" s="8" t="s">
        <v>1815</v>
      </c>
      <c r="G158" s="13" t="s">
        <v>174</v>
      </c>
      <c r="H158" s="19" t="s">
        <v>27</v>
      </c>
      <c r="I158" s="13" t="s">
        <v>11</v>
      </c>
      <c r="J158" s="13" t="s">
        <v>343</v>
      </c>
      <c r="K158" s="13" t="s">
        <v>358</v>
      </c>
      <c r="L158" s="13"/>
      <c r="M158" s="13"/>
      <c r="N158" s="20" t="str">
        <f>HYPERLINK("http://slimages.macys.com/is/image/MCY/17786299 ")</f>
        <v xml:space="preserve">http://slimages.macys.com/is/image/MCY/17786299 </v>
      </c>
    </row>
    <row r="159" spans="1:14" x14ac:dyDescent="0.25">
      <c r="A159" s="19" t="s">
        <v>3195</v>
      </c>
      <c r="B159" s="13" t="s">
        <v>3196</v>
      </c>
      <c r="C159" s="8">
        <v>1</v>
      </c>
      <c r="D159" s="9">
        <v>64</v>
      </c>
      <c r="E159" s="9">
        <v>64</v>
      </c>
      <c r="F159" s="8" t="s">
        <v>3197</v>
      </c>
      <c r="G159" s="13" t="s">
        <v>135</v>
      </c>
      <c r="H159" s="19" t="s">
        <v>27</v>
      </c>
      <c r="I159" s="13" t="s">
        <v>11</v>
      </c>
      <c r="J159" s="13" t="s">
        <v>343</v>
      </c>
      <c r="K159" s="13" t="s">
        <v>358</v>
      </c>
      <c r="L159" s="13"/>
      <c r="M159" s="13"/>
      <c r="N159" s="20" t="str">
        <f>HYPERLINK("http://slimages.macys.com/is/image/MCY/17786355 ")</f>
        <v xml:space="preserve">http://slimages.macys.com/is/image/MCY/17786355 </v>
      </c>
    </row>
    <row r="160" spans="1:14" x14ac:dyDescent="0.25">
      <c r="A160" s="19" t="s">
        <v>3198</v>
      </c>
      <c r="B160" s="13" t="s">
        <v>3199</v>
      </c>
      <c r="C160" s="8">
        <v>1</v>
      </c>
      <c r="D160" s="9">
        <v>64</v>
      </c>
      <c r="E160" s="9">
        <v>64</v>
      </c>
      <c r="F160" s="8" t="s">
        <v>3200</v>
      </c>
      <c r="G160" s="13" t="s">
        <v>122</v>
      </c>
      <c r="H160" s="19" t="s">
        <v>40</v>
      </c>
      <c r="I160" s="13" t="s">
        <v>11</v>
      </c>
      <c r="J160" s="13" t="s">
        <v>343</v>
      </c>
      <c r="K160" s="13" t="s">
        <v>358</v>
      </c>
      <c r="L160" s="13"/>
      <c r="M160" s="13"/>
      <c r="N160" s="20" t="str">
        <f>HYPERLINK("http://slimages.macys.com/is/image/MCY/17786149 ")</f>
        <v xml:space="preserve">http://slimages.macys.com/is/image/MCY/17786149 </v>
      </c>
    </row>
    <row r="161" spans="1:14" x14ac:dyDescent="0.25">
      <c r="A161" s="19" t="s">
        <v>1766</v>
      </c>
      <c r="B161" s="13" t="s">
        <v>1767</v>
      </c>
      <c r="C161" s="8">
        <v>1</v>
      </c>
      <c r="D161" s="9">
        <v>38</v>
      </c>
      <c r="E161" s="9">
        <v>38</v>
      </c>
      <c r="F161" s="8" t="s">
        <v>1768</v>
      </c>
      <c r="G161" s="13" t="s">
        <v>62</v>
      </c>
      <c r="H161" s="19" t="s">
        <v>184</v>
      </c>
      <c r="I161" s="13" t="s">
        <v>11</v>
      </c>
      <c r="J161" s="13" t="s">
        <v>343</v>
      </c>
      <c r="K161" s="13" t="s">
        <v>358</v>
      </c>
      <c r="L161" s="13"/>
      <c r="M161" s="13"/>
      <c r="N161" s="20" t="str">
        <f>HYPERLINK("http://slimages.macys.com/is/image/MCY/18107760 ")</f>
        <v xml:space="preserve">http://slimages.macys.com/is/image/MCY/18107760 </v>
      </c>
    </row>
    <row r="162" spans="1:14" x14ac:dyDescent="0.25">
      <c r="A162" s="19" t="s">
        <v>1253</v>
      </c>
      <c r="B162" s="13" t="s">
        <v>1254</v>
      </c>
      <c r="C162" s="8">
        <v>1</v>
      </c>
      <c r="D162" s="9">
        <v>34</v>
      </c>
      <c r="E162" s="9">
        <v>34</v>
      </c>
      <c r="F162" s="8" t="s">
        <v>1035</v>
      </c>
      <c r="G162" s="13" t="s">
        <v>31</v>
      </c>
      <c r="H162" s="19" t="s">
        <v>27</v>
      </c>
      <c r="I162" s="13" t="s">
        <v>11</v>
      </c>
      <c r="J162" s="13" t="s">
        <v>343</v>
      </c>
      <c r="K162" s="13" t="s">
        <v>366</v>
      </c>
      <c r="L162" s="13"/>
      <c r="M162" s="13"/>
      <c r="N162" s="20" t="str">
        <f>HYPERLINK("http://slimages.macys.com/is/image/MCY/19734597 ")</f>
        <v xml:space="preserve">http://slimages.macys.com/is/image/MCY/19734597 </v>
      </c>
    </row>
    <row r="163" spans="1:14" x14ac:dyDescent="0.25">
      <c r="A163" s="19" t="s">
        <v>2591</v>
      </c>
      <c r="B163" s="13" t="s">
        <v>2592</v>
      </c>
      <c r="C163" s="8">
        <v>1</v>
      </c>
      <c r="D163" s="9">
        <v>27.5</v>
      </c>
      <c r="E163" s="9">
        <v>27.5</v>
      </c>
      <c r="F163" s="8" t="s">
        <v>394</v>
      </c>
      <c r="G163" s="13" t="s">
        <v>78</v>
      </c>
      <c r="H163" s="19" t="s">
        <v>55</v>
      </c>
      <c r="I163" s="13" t="s">
        <v>11</v>
      </c>
      <c r="J163" s="13" t="s">
        <v>343</v>
      </c>
      <c r="K163" s="13" t="s">
        <v>366</v>
      </c>
      <c r="L163" s="13"/>
      <c r="M163" s="13"/>
      <c r="N163" s="20" t="str">
        <f>HYPERLINK("http://slimages.macys.com/is/image/MCY/19306228 ")</f>
        <v xml:space="preserve">http://slimages.macys.com/is/image/MCY/19306228 </v>
      </c>
    </row>
    <row r="164" spans="1:14" x14ac:dyDescent="0.25">
      <c r="A164" s="19" t="s">
        <v>3219</v>
      </c>
      <c r="B164" s="13" t="s">
        <v>3220</v>
      </c>
      <c r="C164" s="8">
        <v>1</v>
      </c>
      <c r="D164" s="9">
        <v>33.6</v>
      </c>
      <c r="E164" s="9">
        <v>33.6</v>
      </c>
      <c r="F164" s="8" t="s">
        <v>1294</v>
      </c>
      <c r="G164" s="13" t="s">
        <v>124</v>
      </c>
      <c r="H164" s="19" t="s">
        <v>32</v>
      </c>
      <c r="I164" s="13" t="s">
        <v>11</v>
      </c>
      <c r="J164" s="13" t="s">
        <v>343</v>
      </c>
      <c r="K164" s="13" t="s">
        <v>379</v>
      </c>
      <c r="L164" s="13"/>
      <c r="M164" s="13"/>
      <c r="N164" s="20" t="str">
        <f>HYPERLINK("http://slimages.macys.com/is/image/MCY/20700564 ")</f>
        <v xml:space="preserve">http://slimages.macys.com/is/image/MCY/20700564 </v>
      </c>
    </row>
    <row r="165" spans="1:14" x14ac:dyDescent="0.25">
      <c r="A165" s="19" t="s">
        <v>1611</v>
      </c>
      <c r="B165" s="13" t="s">
        <v>1612</v>
      </c>
      <c r="C165" s="8">
        <v>1</v>
      </c>
      <c r="D165" s="9">
        <v>14.99</v>
      </c>
      <c r="E165" s="9">
        <v>14.99</v>
      </c>
      <c r="F165" s="8" t="s">
        <v>1613</v>
      </c>
      <c r="G165" s="13" t="s">
        <v>31</v>
      </c>
      <c r="H165" s="19" t="s">
        <v>40</v>
      </c>
      <c r="I165" s="13" t="s">
        <v>11</v>
      </c>
      <c r="J165" s="13" t="s">
        <v>266</v>
      </c>
      <c r="K165" s="13" t="s">
        <v>267</v>
      </c>
      <c r="L165" s="13"/>
      <c r="M165" s="13"/>
      <c r="N165" s="20" t="str">
        <f>HYPERLINK("http://slimages.macys.com/is/image/MCY/18531414 ")</f>
        <v xml:space="preserve">http://slimages.macys.com/is/image/MCY/18531414 </v>
      </c>
    </row>
    <row r="166" spans="1:14" x14ac:dyDescent="0.25">
      <c r="A166" s="19" t="s">
        <v>2911</v>
      </c>
      <c r="B166" s="13" t="s">
        <v>2912</v>
      </c>
      <c r="C166" s="8">
        <v>4</v>
      </c>
      <c r="D166" s="9">
        <v>27.99</v>
      </c>
      <c r="E166" s="9">
        <v>111.96</v>
      </c>
      <c r="F166" s="8" t="s">
        <v>2910</v>
      </c>
      <c r="G166" s="13" t="s">
        <v>270</v>
      </c>
      <c r="H166" s="19" t="s">
        <v>32</v>
      </c>
      <c r="I166" s="13" t="s">
        <v>11</v>
      </c>
      <c r="J166" s="13" t="s">
        <v>266</v>
      </c>
      <c r="K166" s="13" t="s">
        <v>267</v>
      </c>
      <c r="L166" s="13"/>
      <c r="M166" s="13"/>
      <c r="N166" s="20" t="str">
        <f t="shared" ref="N166:N174" si="3">HYPERLINK("http://slimages.macys.com/is/image/MCY/18992310 ")</f>
        <v xml:space="preserve">http://slimages.macys.com/is/image/MCY/18992310 </v>
      </c>
    </row>
    <row r="167" spans="1:14" x14ac:dyDescent="0.25">
      <c r="A167" s="19" t="s">
        <v>3158</v>
      </c>
      <c r="B167" s="13" t="s">
        <v>3159</v>
      </c>
      <c r="C167" s="8">
        <v>3</v>
      </c>
      <c r="D167" s="9">
        <v>27.99</v>
      </c>
      <c r="E167" s="9">
        <v>83.97</v>
      </c>
      <c r="F167" s="8" t="s">
        <v>2910</v>
      </c>
      <c r="G167" s="13" t="s">
        <v>270</v>
      </c>
      <c r="H167" s="19" t="s">
        <v>40</v>
      </c>
      <c r="I167" s="13" t="s">
        <v>11</v>
      </c>
      <c r="J167" s="13" t="s">
        <v>266</v>
      </c>
      <c r="K167" s="13" t="s">
        <v>267</v>
      </c>
      <c r="L167" s="13"/>
      <c r="M167" s="13"/>
      <c r="N167" s="20" t="str">
        <f t="shared" si="3"/>
        <v xml:space="preserve">http://slimages.macys.com/is/image/MCY/18992310 </v>
      </c>
    </row>
    <row r="168" spans="1:14" x14ac:dyDescent="0.25">
      <c r="A168" s="19" t="s">
        <v>3156</v>
      </c>
      <c r="B168" s="13" t="s">
        <v>3157</v>
      </c>
      <c r="C168" s="8">
        <v>3</v>
      </c>
      <c r="D168" s="9">
        <v>27.99</v>
      </c>
      <c r="E168" s="9">
        <v>83.97</v>
      </c>
      <c r="F168" s="8" t="s">
        <v>2910</v>
      </c>
      <c r="G168" s="13" t="s">
        <v>270</v>
      </c>
      <c r="H168" s="19" t="s">
        <v>55</v>
      </c>
      <c r="I168" s="13" t="s">
        <v>11</v>
      </c>
      <c r="J168" s="13" t="s">
        <v>266</v>
      </c>
      <c r="K168" s="13" t="s">
        <v>267</v>
      </c>
      <c r="L168" s="13"/>
      <c r="M168" s="13"/>
      <c r="N168" s="20" t="str">
        <f t="shared" si="3"/>
        <v xml:space="preserve">http://slimages.macys.com/is/image/MCY/18992310 </v>
      </c>
    </row>
    <row r="169" spans="1:14" x14ac:dyDescent="0.25">
      <c r="A169" s="19" t="s">
        <v>2908</v>
      </c>
      <c r="B169" s="13" t="s">
        <v>2909</v>
      </c>
      <c r="C169" s="8">
        <v>1</v>
      </c>
      <c r="D169" s="9">
        <v>27.99</v>
      </c>
      <c r="E169" s="9">
        <v>27.99</v>
      </c>
      <c r="F169" s="8" t="s">
        <v>2910</v>
      </c>
      <c r="G169" s="13" t="s">
        <v>270</v>
      </c>
      <c r="H169" s="19" t="s">
        <v>27</v>
      </c>
      <c r="I169" s="13" t="s">
        <v>11</v>
      </c>
      <c r="J169" s="13" t="s">
        <v>266</v>
      </c>
      <c r="K169" s="13" t="s">
        <v>267</v>
      </c>
      <c r="L169" s="13"/>
      <c r="M169" s="13"/>
      <c r="N169" s="20" t="str">
        <f t="shared" si="3"/>
        <v xml:space="preserve">http://slimages.macys.com/is/image/MCY/18992310 </v>
      </c>
    </row>
    <row r="170" spans="1:14" x14ac:dyDescent="0.25">
      <c r="A170" s="19" t="s">
        <v>3154</v>
      </c>
      <c r="B170" s="13" t="s">
        <v>3155</v>
      </c>
      <c r="C170" s="8">
        <v>1</v>
      </c>
      <c r="D170" s="9">
        <v>27.99</v>
      </c>
      <c r="E170" s="9">
        <v>27.99</v>
      </c>
      <c r="F170" s="8" t="s">
        <v>2910</v>
      </c>
      <c r="G170" s="13" t="s">
        <v>270</v>
      </c>
      <c r="H170" s="19" t="s">
        <v>47</v>
      </c>
      <c r="I170" s="13" t="s">
        <v>11</v>
      </c>
      <c r="J170" s="13" t="s">
        <v>266</v>
      </c>
      <c r="K170" s="13" t="s">
        <v>267</v>
      </c>
      <c r="L170" s="13"/>
      <c r="M170" s="13"/>
      <c r="N170" s="20" t="str">
        <f t="shared" si="3"/>
        <v xml:space="preserve">http://slimages.macys.com/is/image/MCY/18992310 </v>
      </c>
    </row>
    <row r="171" spans="1:14" x14ac:dyDescent="0.25">
      <c r="A171" s="19" t="s">
        <v>3167</v>
      </c>
      <c r="B171" s="13" t="s">
        <v>3168</v>
      </c>
      <c r="C171" s="8">
        <v>1</v>
      </c>
      <c r="D171" s="9">
        <v>27.99</v>
      </c>
      <c r="E171" s="9">
        <v>27.99</v>
      </c>
      <c r="F171" s="8" t="s">
        <v>1016</v>
      </c>
      <c r="G171" s="13" t="s">
        <v>174</v>
      </c>
      <c r="H171" s="19" t="s">
        <v>32</v>
      </c>
      <c r="I171" s="13" t="s">
        <v>11</v>
      </c>
      <c r="J171" s="13" t="s">
        <v>266</v>
      </c>
      <c r="K171" s="13" t="s">
        <v>267</v>
      </c>
      <c r="L171" s="13"/>
      <c r="M171" s="13"/>
      <c r="N171" s="20" t="str">
        <f t="shared" si="3"/>
        <v xml:space="preserve">http://slimages.macys.com/is/image/MCY/18992310 </v>
      </c>
    </row>
    <row r="172" spans="1:14" x14ac:dyDescent="0.25">
      <c r="A172" s="19" t="s">
        <v>3163</v>
      </c>
      <c r="B172" s="13" t="s">
        <v>3164</v>
      </c>
      <c r="C172" s="8">
        <v>1</v>
      </c>
      <c r="D172" s="9">
        <v>27.99</v>
      </c>
      <c r="E172" s="9">
        <v>27.99</v>
      </c>
      <c r="F172" s="8" t="s">
        <v>1016</v>
      </c>
      <c r="G172" s="13" t="s">
        <v>174</v>
      </c>
      <c r="H172" s="19" t="s">
        <v>40</v>
      </c>
      <c r="I172" s="13" t="s">
        <v>11</v>
      </c>
      <c r="J172" s="13" t="s">
        <v>266</v>
      </c>
      <c r="K172" s="13" t="s">
        <v>267</v>
      </c>
      <c r="L172" s="13"/>
      <c r="M172" s="13"/>
      <c r="N172" s="20" t="str">
        <f t="shared" si="3"/>
        <v xml:space="preserve">http://slimages.macys.com/is/image/MCY/18992310 </v>
      </c>
    </row>
    <row r="173" spans="1:14" x14ac:dyDescent="0.25">
      <c r="A173" s="19" t="s">
        <v>1014</v>
      </c>
      <c r="B173" s="13" t="s">
        <v>1015</v>
      </c>
      <c r="C173" s="8">
        <v>4</v>
      </c>
      <c r="D173" s="9">
        <v>27.99</v>
      </c>
      <c r="E173" s="9">
        <v>111.96</v>
      </c>
      <c r="F173" s="8" t="s">
        <v>1016</v>
      </c>
      <c r="G173" s="13" t="s">
        <v>174</v>
      </c>
      <c r="H173" s="19" t="s">
        <v>55</v>
      </c>
      <c r="I173" s="13" t="s">
        <v>11</v>
      </c>
      <c r="J173" s="13" t="s">
        <v>266</v>
      </c>
      <c r="K173" s="13" t="s">
        <v>267</v>
      </c>
      <c r="L173" s="13"/>
      <c r="M173" s="13"/>
      <c r="N173" s="20" t="str">
        <f t="shared" si="3"/>
        <v xml:space="preserve">http://slimages.macys.com/is/image/MCY/18992310 </v>
      </c>
    </row>
    <row r="174" spans="1:14" x14ac:dyDescent="0.25">
      <c r="A174" s="19" t="s">
        <v>3165</v>
      </c>
      <c r="B174" s="13" t="s">
        <v>3166</v>
      </c>
      <c r="C174" s="8">
        <v>3</v>
      </c>
      <c r="D174" s="9">
        <v>27.99</v>
      </c>
      <c r="E174" s="9">
        <v>83.97</v>
      </c>
      <c r="F174" s="8" t="s">
        <v>1016</v>
      </c>
      <c r="G174" s="13" t="s">
        <v>174</v>
      </c>
      <c r="H174" s="19" t="s">
        <v>27</v>
      </c>
      <c r="I174" s="13" t="s">
        <v>11</v>
      </c>
      <c r="J174" s="13" t="s">
        <v>266</v>
      </c>
      <c r="K174" s="13" t="s">
        <v>267</v>
      </c>
      <c r="L174" s="13"/>
      <c r="M174" s="13"/>
      <c r="N174" s="20" t="str">
        <f t="shared" si="3"/>
        <v xml:space="preserve">http://slimages.macys.com/is/image/MCY/18992310 </v>
      </c>
    </row>
    <row r="175" spans="1:14" x14ac:dyDescent="0.25">
      <c r="A175" s="19" t="s">
        <v>1004</v>
      </c>
      <c r="B175" s="13" t="s">
        <v>1005</v>
      </c>
      <c r="C175" s="8">
        <v>1</v>
      </c>
      <c r="D175" s="9">
        <v>27.99</v>
      </c>
      <c r="E175" s="9">
        <v>27.99</v>
      </c>
      <c r="F175" s="8" t="s">
        <v>1006</v>
      </c>
      <c r="G175" s="13" t="s">
        <v>78</v>
      </c>
      <c r="H175" s="19" t="s">
        <v>32</v>
      </c>
      <c r="I175" s="13" t="s">
        <v>11</v>
      </c>
      <c r="J175" s="13" t="s">
        <v>266</v>
      </c>
      <c r="K175" s="13" t="s">
        <v>267</v>
      </c>
      <c r="L175" s="13"/>
      <c r="M175" s="13"/>
      <c r="N175" s="20" t="str">
        <f>HYPERLINK("http://slimages.macys.com/is/image/MCY/18992311 ")</f>
        <v xml:space="preserve">http://slimages.macys.com/is/image/MCY/18992311 </v>
      </c>
    </row>
    <row r="176" spans="1:14" x14ac:dyDescent="0.25">
      <c r="A176" s="19" t="s">
        <v>1009</v>
      </c>
      <c r="B176" s="13" t="s">
        <v>1010</v>
      </c>
      <c r="C176" s="8">
        <v>5</v>
      </c>
      <c r="D176" s="9">
        <v>27.99</v>
      </c>
      <c r="E176" s="9">
        <v>139.94999999999999</v>
      </c>
      <c r="F176" s="8" t="s">
        <v>1006</v>
      </c>
      <c r="G176" s="13" t="s">
        <v>78</v>
      </c>
      <c r="H176" s="19" t="s">
        <v>40</v>
      </c>
      <c r="I176" s="13" t="s">
        <v>11</v>
      </c>
      <c r="J176" s="13" t="s">
        <v>266</v>
      </c>
      <c r="K176" s="13" t="s">
        <v>267</v>
      </c>
      <c r="L176" s="13"/>
      <c r="M176" s="13"/>
      <c r="N176" s="20" t="str">
        <f>HYPERLINK("http://slimages.macys.com/is/image/MCY/18992311 ")</f>
        <v xml:space="preserve">http://slimages.macys.com/is/image/MCY/18992311 </v>
      </c>
    </row>
    <row r="177" spans="1:14" x14ac:dyDescent="0.25">
      <c r="A177" s="19" t="s">
        <v>1007</v>
      </c>
      <c r="B177" s="13" t="s">
        <v>1008</v>
      </c>
      <c r="C177" s="8">
        <v>1</v>
      </c>
      <c r="D177" s="9">
        <v>27.99</v>
      </c>
      <c r="E177" s="9">
        <v>27.99</v>
      </c>
      <c r="F177" s="8" t="s">
        <v>1006</v>
      </c>
      <c r="G177" s="13" t="s">
        <v>78</v>
      </c>
      <c r="H177" s="19" t="s">
        <v>55</v>
      </c>
      <c r="I177" s="13" t="s">
        <v>11</v>
      </c>
      <c r="J177" s="13" t="s">
        <v>266</v>
      </c>
      <c r="K177" s="13" t="s">
        <v>267</v>
      </c>
      <c r="L177" s="13"/>
      <c r="M177" s="13"/>
      <c r="N177" s="20" t="str">
        <f>HYPERLINK("http://slimages.macys.com/is/image/MCY/18992311 ")</f>
        <v xml:space="preserve">http://slimages.macys.com/is/image/MCY/18992311 </v>
      </c>
    </row>
    <row r="178" spans="1:14" x14ac:dyDescent="0.25">
      <c r="A178" s="19" t="s">
        <v>2900</v>
      </c>
      <c r="B178" s="13" t="s">
        <v>2901</v>
      </c>
      <c r="C178" s="8">
        <v>2</v>
      </c>
      <c r="D178" s="9">
        <v>27.99</v>
      </c>
      <c r="E178" s="9">
        <v>55.98</v>
      </c>
      <c r="F178" s="8" t="s">
        <v>1006</v>
      </c>
      <c r="G178" s="13" t="s">
        <v>78</v>
      </c>
      <c r="H178" s="19" t="s">
        <v>27</v>
      </c>
      <c r="I178" s="13" t="s">
        <v>11</v>
      </c>
      <c r="J178" s="13" t="s">
        <v>266</v>
      </c>
      <c r="K178" s="13" t="s">
        <v>267</v>
      </c>
      <c r="L178" s="13"/>
      <c r="M178" s="13"/>
      <c r="N178" s="20" t="str">
        <f>HYPERLINK("http://slimages.macys.com/is/image/MCY/18992311 ")</f>
        <v xml:space="preserve">http://slimages.macys.com/is/image/MCY/18992311 </v>
      </c>
    </row>
    <row r="179" spans="1:14" x14ac:dyDescent="0.25">
      <c r="A179" s="19" t="s">
        <v>3135</v>
      </c>
      <c r="B179" s="13" t="s">
        <v>3136</v>
      </c>
      <c r="C179" s="8">
        <v>3</v>
      </c>
      <c r="D179" s="9">
        <v>27.99</v>
      </c>
      <c r="E179" s="9">
        <v>83.97</v>
      </c>
      <c r="F179" s="8" t="s">
        <v>1006</v>
      </c>
      <c r="G179" s="13" t="s">
        <v>78</v>
      </c>
      <c r="H179" s="19" t="s">
        <v>47</v>
      </c>
      <c r="I179" s="13" t="s">
        <v>11</v>
      </c>
      <c r="J179" s="13" t="s">
        <v>266</v>
      </c>
      <c r="K179" s="13" t="s">
        <v>267</v>
      </c>
      <c r="L179" s="13"/>
      <c r="M179" s="13"/>
      <c r="N179" s="20" t="str">
        <f>HYPERLINK("http://slimages.macys.com/is/image/MCY/18992311 ")</f>
        <v xml:space="preserve">http://slimages.macys.com/is/image/MCY/18992311 </v>
      </c>
    </row>
    <row r="180" spans="1:14" x14ac:dyDescent="0.25">
      <c r="A180" s="19" t="s">
        <v>3144</v>
      </c>
      <c r="B180" s="13" t="s">
        <v>3145</v>
      </c>
      <c r="C180" s="8">
        <v>3</v>
      </c>
      <c r="D180" s="9">
        <v>27.99</v>
      </c>
      <c r="E180" s="9">
        <v>83.97</v>
      </c>
      <c r="F180" s="8" t="s">
        <v>1013</v>
      </c>
      <c r="G180" s="13" t="s">
        <v>122</v>
      </c>
      <c r="H180" s="19" t="s">
        <v>32</v>
      </c>
      <c r="I180" s="13" t="s">
        <v>11</v>
      </c>
      <c r="J180" s="13" t="s">
        <v>266</v>
      </c>
      <c r="K180" s="13" t="s">
        <v>267</v>
      </c>
      <c r="L180" s="13"/>
      <c r="M180" s="13"/>
      <c r="N180" s="20" t="str">
        <f>HYPERLINK("http://slimages.macys.com/is/image/MCY/18992313 ")</f>
        <v xml:space="preserve">http://slimages.macys.com/is/image/MCY/18992313 </v>
      </c>
    </row>
    <row r="181" spans="1:14" x14ac:dyDescent="0.25">
      <c r="A181" s="19" t="s">
        <v>1011</v>
      </c>
      <c r="B181" s="13" t="s">
        <v>1012</v>
      </c>
      <c r="C181" s="8">
        <v>1</v>
      </c>
      <c r="D181" s="9">
        <v>27.99</v>
      </c>
      <c r="E181" s="9">
        <v>27.99</v>
      </c>
      <c r="F181" s="8" t="s">
        <v>1013</v>
      </c>
      <c r="G181" s="13" t="s">
        <v>122</v>
      </c>
      <c r="H181" s="19" t="s">
        <v>40</v>
      </c>
      <c r="I181" s="13" t="s">
        <v>11</v>
      </c>
      <c r="J181" s="13" t="s">
        <v>266</v>
      </c>
      <c r="K181" s="13" t="s">
        <v>267</v>
      </c>
      <c r="L181" s="13"/>
      <c r="M181" s="13"/>
      <c r="N181" s="20" t="str">
        <f>HYPERLINK("http://slimages.macys.com/is/image/MCY/18992313 ")</f>
        <v xml:space="preserve">http://slimages.macys.com/is/image/MCY/18992313 </v>
      </c>
    </row>
    <row r="182" spans="1:14" x14ac:dyDescent="0.25">
      <c r="A182" s="19" t="s">
        <v>3140</v>
      </c>
      <c r="B182" s="13" t="s">
        <v>3141</v>
      </c>
      <c r="C182" s="8">
        <v>1</v>
      </c>
      <c r="D182" s="9">
        <v>27.99</v>
      </c>
      <c r="E182" s="9">
        <v>27.99</v>
      </c>
      <c r="F182" s="8" t="s">
        <v>1013</v>
      </c>
      <c r="G182" s="13" t="s">
        <v>122</v>
      </c>
      <c r="H182" s="19" t="s">
        <v>55</v>
      </c>
      <c r="I182" s="13" t="s">
        <v>11</v>
      </c>
      <c r="J182" s="13" t="s">
        <v>266</v>
      </c>
      <c r="K182" s="13" t="s">
        <v>267</v>
      </c>
      <c r="L182" s="13"/>
      <c r="M182" s="13"/>
      <c r="N182" s="20" t="str">
        <f>HYPERLINK("http://slimages.macys.com/is/image/MCY/18992313 ")</f>
        <v xml:space="preserve">http://slimages.macys.com/is/image/MCY/18992313 </v>
      </c>
    </row>
    <row r="183" spans="1:14" x14ac:dyDescent="0.25">
      <c r="A183" s="19" t="s">
        <v>3142</v>
      </c>
      <c r="B183" s="13" t="s">
        <v>3143</v>
      </c>
      <c r="C183" s="8">
        <v>2</v>
      </c>
      <c r="D183" s="9">
        <v>27.99</v>
      </c>
      <c r="E183" s="9">
        <v>55.98</v>
      </c>
      <c r="F183" s="8" t="s">
        <v>1013</v>
      </c>
      <c r="G183" s="13" t="s">
        <v>122</v>
      </c>
      <c r="H183" s="19" t="s">
        <v>27</v>
      </c>
      <c r="I183" s="13" t="s">
        <v>11</v>
      </c>
      <c r="J183" s="13" t="s">
        <v>266</v>
      </c>
      <c r="K183" s="13" t="s">
        <v>267</v>
      </c>
      <c r="L183" s="13"/>
      <c r="M183" s="13"/>
      <c r="N183" s="20" t="str">
        <f>HYPERLINK("http://slimages.macys.com/is/image/MCY/18992313 ")</f>
        <v xml:space="preserve">http://slimages.macys.com/is/image/MCY/18992313 </v>
      </c>
    </row>
    <row r="184" spans="1:14" x14ac:dyDescent="0.25">
      <c r="A184" s="19" t="s">
        <v>3249</v>
      </c>
      <c r="B184" s="13" t="s">
        <v>3250</v>
      </c>
      <c r="C184" s="8">
        <v>1</v>
      </c>
      <c r="D184" s="9">
        <v>5.6</v>
      </c>
      <c r="E184" s="9">
        <v>5.6</v>
      </c>
      <c r="F184" s="8">
        <v>100097411</v>
      </c>
      <c r="G184" s="13" t="s">
        <v>31</v>
      </c>
      <c r="H184" s="19"/>
      <c r="I184" s="13" t="s">
        <v>11</v>
      </c>
      <c r="J184" s="13" t="s">
        <v>457</v>
      </c>
      <c r="K184" s="13" t="s">
        <v>459</v>
      </c>
      <c r="L184" s="13"/>
      <c r="M184" s="13"/>
      <c r="N184" s="20" t="str">
        <f>HYPERLINK("http://slimages.macys.com/is/image/MCY/11830743 ")</f>
        <v xml:space="preserve">http://slimages.macys.com/is/image/MCY/11830743 </v>
      </c>
    </row>
    <row r="185" spans="1:14" x14ac:dyDescent="0.25">
      <c r="A185" s="19" t="s">
        <v>1901</v>
      </c>
      <c r="B185" s="13" t="s">
        <v>1902</v>
      </c>
      <c r="C185" s="8">
        <v>1</v>
      </c>
      <c r="D185" s="9">
        <v>37.99</v>
      </c>
      <c r="E185" s="9">
        <v>37.99</v>
      </c>
      <c r="F185" s="8" t="s">
        <v>738</v>
      </c>
      <c r="G185" s="13" t="s">
        <v>86</v>
      </c>
      <c r="H185" s="19" t="s">
        <v>32</v>
      </c>
      <c r="I185" s="13" t="s">
        <v>11</v>
      </c>
      <c r="J185" s="13" t="s">
        <v>266</v>
      </c>
      <c r="K185" s="13" t="s">
        <v>267</v>
      </c>
      <c r="L185" s="13"/>
      <c r="M185" s="13"/>
      <c r="N185" s="20" t="str">
        <f>HYPERLINK("http://slimages.macys.com/is/image/MCY/1061179 ")</f>
        <v xml:space="preserve">http://slimages.macys.com/is/image/MCY/1061179 </v>
      </c>
    </row>
    <row r="186" spans="1:14" x14ac:dyDescent="0.25">
      <c r="A186" s="19" t="s">
        <v>3133</v>
      </c>
      <c r="B186" s="13" t="s">
        <v>3134</v>
      </c>
      <c r="C186" s="8">
        <v>4</v>
      </c>
      <c r="D186" s="9">
        <v>27.99</v>
      </c>
      <c r="E186" s="9">
        <v>111.96</v>
      </c>
      <c r="F186" s="8" t="s">
        <v>1001</v>
      </c>
      <c r="G186" s="13" t="s">
        <v>104</v>
      </c>
      <c r="H186" s="19" t="s">
        <v>27</v>
      </c>
      <c r="I186" s="13" t="s">
        <v>11</v>
      </c>
      <c r="J186" s="13" t="s">
        <v>266</v>
      </c>
      <c r="K186" s="13" t="s">
        <v>267</v>
      </c>
      <c r="L186" s="13"/>
      <c r="M186" s="13"/>
      <c r="N186" s="20" t="str">
        <f>HYPERLINK("http://slimages.macys.com/is/image/MCY/20128837 ")</f>
        <v xml:space="preserve">http://slimages.macys.com/is/image/MCY/20128837 </v>
      </c>
    </row>
    <row r="187" spans="1:14" x14ac:dyDescent="0.25">
      <c r="A187" s="19" t="s">
        <v>3169</v>
      </c>
      <c r="B187" s="13" t="s">
        <v>3170</v>
      </c>
      <c r="C187" s="8">
        <v>1</v>
      </c>
      <c r="D187" s="9">
        <v>34.99</v>
      </c>
      <c r="E187" s="9">
        <v>34.99</v>
      </c>
      <c r="F187" s="8" t="s">
        <v>3171</v>
      </c>
      <c r="G187" s="13" t="s">
        <v>62</v>
      </c>
      <c r="H187" s="19" t="s">
        <v>55</v>
      </c>
      <c r="I187" s="13" t="s">
        <v>11</v>
      </c>
      <c r="J187" s="13" t="s">
        <v>266</v>
      </c>
      <c r="K187" s="13" t="s">
        <v>267</v>
      </c>
      <c r="L187" s="13"/>
      <c r="M187" s="13"/>
      <c r="N187" s="20" t="str">
        <f>HYPERLINK("http://slimages.macys.com/is/image/MCY/18681078 ")</f>
        <v xml:space="preserve">http://slimages.macys.com/is/image/MCY/18681078 </v>
      </c>
    </row>
    <row r="188" spans="1:14" x14ac:dyDescent="0.25">
      <c r="A188" s="19" t="s">
        <v>3122</v>
      </c>
      <c r="B188" s="13" t="s">
        <v>3123</v>
      </c>
      <c r="C188" s="8">
        <v>1</v>
      </c>
      <c r="D188" s="9">
        <v>49.99</v>
      </c>
      <c r="E188" s="9">
        <v>49.99</v>
      </c>
      <c r="F188" s="8" t="s">
        <v>3121</v>
      </c>
      <c r="G188" s="13" t="s">
        <v>86</v>
      </c>
      <c r="H188" s="19" t="s">
        <v>40</v>
      </c>
      <c r="I188" s="13" t="s">
        <v>11</v>
      </c>
      <c r="J188" s="13" t="s">
        <v>266</v>
      </c>
      <c r="K188" s="13" t="s">
        <v>267</v>
      </c>
      <c r="L188" s="13"/>
      <c r="M188" s="13"/>
      <c r="N188" s="20" t="str">
        <f>HYPERLINK("http://slimages.macys.com/is/image/MCY/20153670 ")</f>
        <v xml:space="preserve">http://slimages.macys.com/is/image/MCY/20153670 </v>
      </c>
    </row>
    <row r="189" spans="1:14" x14ac:dyDescent="0.25">
      <c r="A189" s="19" t="s">
        <v>3119</v>
      </c>
      <c r="B189" s="13" t="s">
        <v>3120</v>
      </c>
      <c r="C189" s="8">
        <v>1</v>
      </c>
      <c r="D189" s="9">
        <v>49.99</v>
      </c>
      <c r="E189" s="9">
        <v>49.99</v>
      </c>
      <c r="F189" s="8" t="s">
        <v>3121</v>
      </c>
      <c r="G189" s="13" t="s">
        <v>86</v>
      </c>
      <c r="H189" s="19" t="s">
        <v>47</v>
      </c>
      <c r="I189" s="13" t="s">
        <v>11</v>
      </c>
      <c r="J189" s="13" t="s">
        <v>266</v>
      </c>
      <c r="K189" s="13" t="s">
        <v>267</v>
      </c>
      <c r="L189" s="13"/>
      <c r="M189" s="13"/>
      <c r="N189" s="20" t="str">
        <f>HYPERLINK("http://slimages.macys.com/is/image/MCY/20153670 ")</f>
        <v xml:space="preserve">http://slimages.macys.com/is/image/MCY/20153670 </v>
      </c>
    </row>
    <row r="190" spans="1:14" x14ac:dyDescent="0.25">
      <c r="A190" s="19" t="s">
        <v>3124</v>
      </c>
      <c r="B190" s="13" t="s">
        <v>3125</v>
      </c>
      <c r="C190" s="8">
        <v>1</v>
      </c>
      <c r="D190" s="9">
        <v>49.99</v>
      </c>
      <c r="E190" s="9">
        <v>49.99</v>
      </c>
      <c r="F190" s="8" t="s">
        <v>3121</v>
      </c>
      <c r="G190" s="13" t="s">
        <v>86</v>
      </c>
      <c r="H190" s="19" t="s">
        <v>87</v>
      </c>
      <c r="I190" s="13" t="s">
        <v>11</v>
      </c>
      <c r="J190" s="13" t="s">
        <v>266</v>
      </c>
      <c r="K190" s="13" t="s">
        <v>267</v>
      </c>
      <c r="L190" s="13"/>
      <c r="M190" s="13"/>
      <c r="N190" s="20" t="str">
        <f>HYPERLINK("http://slimages.macys.com/is/image/MCY/20153670 ")</f>
        <v xml:space="preserve">http://slimages.macys.com/is/image/MCY/20153670 </v>
      </c>
    </row>
    <row r="191" spans="1:14" x14ac:dyDescent="0.25">
      <c r="A191" s="19" t="s">
        <v>3126</v>
      </c>
      <c r="B191" s="13" t="s">
        <v>3127</v>
      </c>
      <c r="C191" s="8">
        <v>1</v>
      </c>
      <c r="D191" s="9">
        <v>49.99</v>
      </c>
      <c r="E191" s="9">
        <v>49.99</v>
      </c>
      <c r="F191" s="8" t="s">
        <v>3128</v>
      </c>
      <c r="G191" s="13" t="s">
        <v>78</v>
      </c>
      <c r="H191" s="19" t="s">
        <v>87</v>
      </c>
      <c r="I191" s="13" t="s">
        <v>11</v>
      </c>
      <c r="J191" s="13" t="s">
        <v>266</v>
      </c>
      <c r="K191" s="13" t="s">
        <v>267</v>
      </c>
      <c r="L191" s="13"/>
      <c r="M191" s="13"/>
      <c r="N191" s="20" t="str">
        <f>HYPERLINK("http://slimages.macys.com/is/image/MCY/20153670 ")</f>
        <v xml:space="preserve">http://slimages.macys.com/is/image/MCY/20153670 </v>
      </c>
    </row>
    <row r="192" spans="1:14" x14ac:dyDescent="0.25">
      <c r="A192" s="19" t="s">
        <v>3149</v>
      </c>
      <c r="B192" s="13" t="s">
        <v>3150</v>
      </c>
      <c r="C192" s="8">
        <v>1</v>
      </c>
      <c r="D192" s="9">
        <v>29.99</v>
      </c>
      <c r="E192" s="9">
        <v>29.99</v>
      </c>
      <c r="F192" s="8" t="s">
        <v>3151</v>
      </c>
      <c r="G192" s="13" t="s">
        <v>202</v>
      </c>
      <c r="H192" s="19" t="s">
        <v>40</v>
      </c>
      <c r="I192" s="13" t="s">
        <v>11</v>
      </c>
      <c r="J192" s="13" t="s">
        <v>266</v>
      </c>
      <c r="K192" s="13" t="s">
        <v>267</v>
      </c>
      <c r="L192" s="13"/>
      <c r="M192" s="13"/>
      <c r="N192" s="20" t="str">
        <f>HYPERLINK("http://slimages.macys.com/is/image/MCY/19712936 ")</f>
        <v xml:space="preserve">http://slimages.macys.com/is/image/MCY/19712936 </v>
      </c>
    </row>
    <row r="193" spans="1:14" x14ac:dyDescent="0.25">
      <c r="A193" s="19" t="s">
        <v>3152</v>
      </c>
      <c r="B193" s="13" t="s">
        <v>3153</v>
      </c>
      <c r="C193" s="8">
        <v>1</v>
      </c>
      <c r="D193" s="9">
        <v>29.99</v>
      </c>
      <c r="E193" s="9">
        <v>29.99</v>
      </c>
      <c r="F193" s="8" t="s">
        <v>2389</v>
      </c>
      <c r="G193" s="13" t="s">
        <v>270</v>
      </c>
      <c r="H193" s="19" t="s">
        <v>40</v>
      </c>
      <c r="I193" s="13" t="s">
        <v>11</v>
      </c>
      <c r="J193" s="13" t="s">
        <v>266</v>
      </c>
      <c r="K193" s="13" t="s">
        <v>267</v>
      </c>
      <c r="L193" s="13"/>
      <c r="M193" s="13"/>
      <c r="N193" s="20" t="str">
        <f>HYPERLINK("http://slimages.macys.com/is/image/MCY/19714794 ")</f>
        <v xml:space="preserve">http://slimages.macys.com/is/image/MCY/19714794 </v>
      </c>
    </row>
    <row r="194" spans="1:14" x14ac:dyDescent="0.25">
      <c r="A194" s="19" t="s">
        <v>3160</v>
      </c>
      <c r="B194" s="13" t="s">
        <v>3161</v>
      </c>
      <c r="C194" s="8">
        <v>1</v>
      </c>
      <c r="D194" s="9">
        <v>31.99</v>
      </c>
      <c r="E194" s="9">
        <v>31.99</v>
      </c>
      <c r="F194" s="8" t="s">
        <v>3162</v>
      </c>
      <c r="G194" s="13" t="s">
        <v>83</v>
      </c>
      <c r="H194" s="19" t="s">
        <v>158</v>
      </c>
      <c r="I194" s="13" t="s">
        <v>11</v>
      </c>
      <c r="J194" s="13" t="s">
        <v>266</v>
      </c>
      <c r="K194" s="13" t="s">
        <v>267</v>
      </c>
      <c r="L194" s="13"/>
      <c r="M194" s="13"/>
      <c r="N194" s="20" t="str">
        <f>HYPERLINK("http://slimages.macys.com/is/image/MCY/18574806 ")</f>
        <v xml:space="preserve">http://slimages.macys.com/is/image/MCY/18574806 </v>
      </c>
    </row>
    <row r="195" spans="1:14" x14ac:dyDescent="0.25">
      <c r="A195" s="19" t="s">
        <v>3137</v>
      </c>
      <c r="B195" s="13" t="s">
        <v>3138</v>
      </c>
      <c r="C195" s="8">
        <v>1</v>
      </c>
      <c r="D195" s="9">
        <v>35.99</v>
      </c>
      <c r="E195" s="9">
        <v>35.99</v>
      </c>
      <c r="F195" s="8" t="s">
        <v>3139</v>
      </c>
      <c r="G195" s="13" t="s">
        <v>31</v>
      </c>
      <c r="H195" s="19" t="s">
        <v>286</v>
      </c>
      <c r="I195" s="13" t="s">
        <v>11</v>
      </c>
      <c r="J195" s="13" t="s">
        <v>266</v>
      </c>
      <c r="K195" s="13" t="s">
        <v>267</v>
      </c>
      <c r="L195" s="13"/>
      <c r="M195" s="13"/>
      <c r="N195" s="20" t="str">
        <f>HYPERLINK("http://slimages.macys.com/is/image/MCY/18653049 ")</f>
        <v xml:space="preserve">http://slimages.macys.com/is/image/MCY/18653049 </v>
      </c>
    </row>
    <row r="196" spans="1:14" x14ac:dyDescent="0.25">
      <c r="A196" s="19" t="s">
        <v>318</v>
      </c>
      <c r="B196" s="13" t="s">
        <v>319</v>
      </c>
      <c r="C196" s="8">
        <v>1</v>
      </c>
      <c r="D196" s="9">
        <v>16.989999999999998</v>
      </c>
      <c r="E196" s="9">
        <v>16.989999999999998</v>
      </c>
      <c r="F196" s="8" t="s">
        <v>317</v>
      </c>
      <c r="G196" s="13" t="s">
        <v>104</v>
      </c>
      <c r="H196" s="19" t="s">
        <v>55</v>
      </c>
      <c r="I196" s="13" t="s">
        <v>11</v>
      </c>
      <c r="J196" s="13" t="s">
        <v>266</v>
      </c>
      <c r="K196" s="13" t="s">
        <v>267</v>
      </c>
      <c r="L196" s="13"/>
      <c r="M196" s="13"/>
      <c r="N196" s="20" t="str">
        <f>HYPERLINK("http://slimages.macys.com/is/image/MCY/19916855 ")</f>
        <v xml:space="preserve">http://slimages.macys.com/is/image/MCY/19916855 </v>
      </c>
    </row>
    <row r="197" spans="1:14" x14ac:dyDescent="0.25">
      <c r="A197" s="19" t="s">
        <v>3177</v>
      </c>
      <c r="B197" s="13" t="s">
        <v>3178</v>
      </c>
      <c r="C197" s="8">
        <v>1</v>
      </c>
      <c r="D197" s="9">
        <v>24.99</v>
      </c>
      <c r="E197" s="9">
        <v>24.99</v>
      </c>
      <c r="F197" s="8" t="s">
        <v>751</v>
      </c>
      <c r="G197" s="13" t="s">
        <v>85</v>
      </c>
      <c r="H197" s="19" t="s">
        <v>27</v>
      </c>
      <c r="I197" s="13" t="s">
        <v>11</v>
      </c>
      <c r="J197" s="13" t="s">
        <v>266</v>
      </c>
      <c r="K197" s="13" t="s">
        <v>267</v>
      </c>
      <c r="L197" s="13"/>
      <c r="M197" s="13"/>
      <c r="N197" s="20" t="str">
        <f>HYPERLINK("http://slimages.macys.com/is/image/MCY/19610914 ")</f>
        <v xml:space="preserve">http://slimages.macys.com/is/image/MCY/19610914 </v>
      </c>
    </row>
    <row r="198" spans="1:14" x14ac:dyDescent="0.25">
      <c r="A198" s="19" t="s">
        <v>320</v>
      </c>
      <c r="B198" s="13" t="s">
        <v>321</v>
      </c>
      <c r="C198" s="8">
        <v>3</v>
      </c>
      <c r="D198" s="9">
        <v>24.99</v>
      </c>
      <c r="E198" s="9">
        <v>74.97</v>
      </c>
      <c r="F198" s="8" t="s">
        <v>322</v>
      </c>
      <c r="G198" s="13" t="s">
        <v>104</v>
      </c>
      <c r="H198" s="19" t="s">
        <v>55</v>
      </c>
      <c r="I198" s="13" t="s">
        <v>11</v>
      </c>
      <c r="J198" s="13" t="s">
        <v>266</v>
      </c>
      <c r="K198" s="13" t="s">
        <v>267</v>
      </c>
      <c r="L198" s="13"/>
      <c r="M198" s="13"/>
      <c r="N198" s="20" t="str">
        <f>HYPERLINK("http://slimages.macys.com/is/image/MCY/19610914 ")</f>
        <v xml:space="preserve">http://slimages.macys.com/is/image/MCY/19610914 </v>
      </c>
    </row>
    <row r="199" spans="1:14" x14ac:dyDescent="0.25">
      <c r="A199" s="19" t="s">
        <v>3175</v>
      </c>
      <c r="B199" s="13" t="s">
        <v>3176</v>
      </c>
      <c r="C199" s="8">
        <v>2</v>
      </c>
      <c r="D199" s="9">
        <v>24.99</v>
      </c>
      <c r="E199" s="9">
        <v>49.98</v>
      </c>
      <c r="F199" s="8" t="s">
        <v>322</v>
      </c>
      <c r="G199" s="13" t="s">
        <v>104</v>
      </c>
      <c r="H199" s="19" t="s">
        <v>27</v>
      </c>
      <c r="I199" s="13" t="s">
        <v>11</v>
      </c>
      <c r="J199" s="13" t="s">
        <v>266</v>
      </c>
      <c r="K199" s="13" t="s">
        <v>267</v>
      </c>
      <c r="L199" s="13"/>
      <c r="M199" s="13"/>
      <c r="N199" s="20" t="str">
        <f>HYPERLINK("http://slimages.macys.com/is/image/MCY/19610914 ")</f>
        <v xml:space="preserve">http://slimages.macys.com/is/image/MCY/19610914 </v>
      </c>
    </row>
    <row r="200" spans="1:14" x14ac:dyDescent="0.25">
      <c r="A200" s="19" t="s">
        <v>3131</v>
      </c>
      <c r="B200" s="13" t="s">
        <v>3132</v>
      </c>
      <c r="C200" s="8">
        <v>1</v>
      </c>
      <c r="D200" s="9">
        <v>23.99</v>
      </c>
      <c r="E200" s="9">
        <v>23.99</v>
      </c>
      <c r="F200" s="8" t="s">
        <v>1207</v>
      </c>
      <c r="G200" s="13" t="s">
        <v>83</v>
      </c>
      <c r="H200" s="19" t="s">
        <v>32</v>
      </c>
      <c r="I200" s="13" t="s">
        <v>11</v>
      </c>
      <c r="J200" s="13" t="s">
        <v>266</v>
      </c>
      <c r="K200" s="13" t="s">
        <v>267</v>
      </c>
      <c r="L200" s="13"/>
      <c r="M200" s="13"/>
      <c r="N200" s="20" t="str">
        <f>HYPERLINK("http://slimages.macys.com/is/image/MCY/18531891 ")</f>
        <v xml:space="preserve">http://slimages.macys.com/is/image/MCY/18531891 </v>
      </c>
    </row>
    <row r="201" spans="1:14" x14ac:dyDescent="0.25">
      <c r="A201" s="19" t="s">
        <v>3129</v>
      </c>
      <c r="B201" s="13" t="s">
        <v>3130</v>
      </c>
      <c r="C201" s="8">
        <v>1</v>
      </c>
      <c r="D201" s="9">
        <v>23.99</v>
      </c>
      <c r="E201" s="9">
        <v>23.99</v>
      </c>
      <c r="F201" s="8" t="s">
        <v>1207</v>
      </c>
      <c r="G201" s="13" t="s">
        <v>83</v>
      </c>
      <c r="H201" s="19" t="s">
        <v>55</v>
      </c>
      <c r="I201" s="13" t="s">
        <v>11</v>
      </c>
      <c r="J201" s="13" t="s">
        <v>266</v>
      </c>
      <c r="K201" s="13" t="s">
        <v>267</v>
      </c>
      <c r="L201" s="13"/>
      <c r="M201" s="13"/>
      <c r="N201" s="20" t="str">
        <f>HYPERLINK("http://slimages.macys.com/is/image/MCY/18612807 ")</f>
        <v xml:space="preserve">http://slimages.macys.com/is/image/MCY/18612807 </v>
      </c>
    </row>
    <row r="202" spans="1:14" x14ac:dyDescent="0.25">
      <c r="A202" s="19" t="s">
        <v>2462</v>
      </c>
      <c r="B202" s="13" t="s">
        <v>2463</v>
      </c>
      <c r="C202" s="8">
        <v>2</v>
      </c>
      <c r="D202" s="9">
        <v>16.989999999999998</v>
      </c>
      <c r="E202" s="9">
        <v>33.979999999999997</v>
      </c>
      <c r="F202" s="8" t="s">
        <v>328</v>
      </c>
      <c r="G202" s="13" t="s">
        <v>202</v>
      </c>
      <c r="H202" s="19" t="s">
        <v>55</v>
      </c>
      <c r="I202" s="13" t="s">
        <v>11</v>
      </c>
      <c r="J202" s="13" t="s">
        <v>266</v>
      </c>
      <c r="K202" s="13" t="s">
        <v>267</v>
      </c>
      <c r="L202" s="13"/>
      <c r="M202" s="13"/>
      <c r="N202" s="20" t="str">
        <f>HYPERLINK("http://slimages.macys.com/is/image/MCY/19638875 ")</f>
        <v xml:space="preserve">http://slimages.macys.com/is/image/MCY/19638875 </v>
      </c>
    </row>
    <row r="203" spans="1:14" x14ac:dyDescent="0.25">
      <c r="A203" s="19" t="s">
        <v>1024</v>
      </c>
      <c r="B203" s="13" t="s">
        <v>1025</v>
      </c>
      <c r="C203" s="8">
        <v>1</v>
      </c>
      <c r="D203" s="9">
        <v>16.989999999999998</v>
      </c>
      <c r="E203" s="9">
        <v>16.989999999999998</v>
      </c>
      <c r="F203" s="8" t="s">
        <v>328</v>
      </c>
      <c r="G203" s="13" t="s">
        <v>82</v>
      </c>
      <c r="H203" s="19" t="s">
        <v>55</v>
      </c>
      <c r="I203" s="13" t="s">
        <v>11</v>
      </c>
      <c r="J203" s="13" t="s">
        <v>266</v>
      </c>
      <c r="K203" s="13" t="s">
        <v>267</v>
      </c>
      <c r="L203" s="13"/>
      <c r="M203" s="13"/>
      <c r="N203" s="20" t="str">
        <f>HYPERLINK("http://slimages.macys.com/is/image/MCY/19638875 ")</f>
        <v xml:space="preserve">http://slimages.macys.com/is/image/MCY/19638875 </v>
      </c>
    </row>
    <row r="204" spans="1:14" x14ac:dyDescent="0.25">
      <c r="A204" s="19" t="s">
        <v>3182</v>
      </c>
      <c r="B204" s="13" t="s">
        <v>3183</v>
      </c>
      <c r="C204" s="8">
        <v>1</v>
      </c>
      <c r="D204" s="9">
        <v>14.99</v>
      </c>
      <c r="E204" s="9">
        <v>14.99</v>
      </c>
      <c r="F204" s="8" t="s">
        <v>342</v>
      </c>
      <c r="G204" s="13" t="s">
        <v>31</v>
      </c>
      <c r="H204" s="19" t="s">
        <v>40</v>
      </c>
      <c r="I204" s="13" t="s">
        <v>11</v>
      </c>
      <c r="J204" s="13" t="s">
        <v>266</v>
      </c>
      <c r="K204" s="13" t="s">
        <v>267</v>
      </c>
      <c r="L204" s="13"/>
      <c r="M204" s="13"/>
      <c r="N204" s="20" t="str">
        <f>HYPERLINK("http://slimages.macys.com/is/image/MCY/18992282 ")</f>
        <v xml:space="preserve">http://slimages.macys.com/is/image/MCY/18992282 </v>
      </c>
    </row>
    <row r="205" spans="1:14" x14ac:dyDescent="0.25">
      <c r="A205" s="19" t="s">
        <v>1458</v>
      </c>
      <c r="B205" s="13" t="s">
        <v>1459</v>
      </c>
      <c r="C205" s="8">
        <v>1</v>
      </c>
      <c r="D205" s="9">
        <v>14.99</v>
      </c>
      <c r="E205" s="9">
        <v>14.99</v>
      </c>
      <c r="F205" s="8" t="s">
        <v>307</v>
      </c>
      <c r="G205" s="13" t="s">
        <v>107</v>
      </c>
      <c r="H205" s="19" t="s">
        <v>55</v>
      </c>
      <c r="I205" s="13" t="s">
        <v>11</v>
      </c>
      <c r="J205" s="13" t="s">
        <v>266</v>
      </c>
      <c r="K205" s="13" t="s">
        <v>267</v>
      </c>
      <c r="L205" s="13"/>
      <c r="M205" s="13"/>
      <c r="N205" s="20" t="str">
        <f>HYPERLINK("http://slimages.macys.com/is/image/MCY/19885951 ")</f>
        <v xml:space="preserve">http://slimages.macys.com/is/image/MCY/19885951 </v>
      </c>
    </row>
    <row r="206" spans="1:14" x14ac:dyDescent="0.25">
      <c r="A206" s="19" t="s">
        <v>3146</v>
      </c>
      <c r="B206" s="13" t="s">
        <v>3147</v>
      </c>
      <c r="C206" s="8">
        <v>1</v>
      </c>
      <c r="D206" s="9">
        <v>32.99</v>
      </c>
      <c r="E206" s="9">
        <v>32.99</v>
      </c>
      <c r="F206" s="8" t="s">
        <v>3148</v>
      </c>
      <c r="G206" s="13" t="s">
        <v>189</v>
      </c>
      <c r="H206" s="19" t="s">
        <v>40</v>
      </c>
      <c r="I206" s="13" t="s">
        <v>11</v>
      </c>
      <c r="J206" s="13" t="s">
        <v>266</v>
      </c>
      <c r="K206" s="13" t="s">
        <v>267</v>
      </c>
      <c r="L206" s="13"/>
      <c r="M206" s="13"/>
      <c r="N206" s="20" t="str">
        <f>HYPERLINK("http://slimages.macys.com/is/image/MCY/19301420 ")</f>
        <v xml:space="preserve">http://slimages.macys.com/is/image/MCY/19301420 </v>
      </c>
    </row>
    <row r="207" spans="1:14" x14ac:dyDescent="0.25">
      <c r="A207" s="19" t="s">
        <v>3172</v>
      </c>
      <c r="B207" s="13" t="s">
        <v>3173</v>
      </c>
      <c r="C207" s="8">
        <v>1</v>
      </c>
      <c r="D207" s="9">
        <v>24.99</v>
      </c>
      <c r="E207" s="9">
        <v>24.99</v>
      </c>
      <c r="F207" s="8" t="s">
        <v>3174</v>
      </c>
      <c r="G207" s="13" t="s">
        <v>78</v>
      </c>
      <c r="H207" s="19" t="s">
        <v>55</v>
      </c>
      <c r="I207" s="13" t="s">
        <v>11</v>
      </c>
      <c r="J207" s="13" t="s">
        <v>266</v>
      </c>
      <c r="K207" s="13" t="s">
        <v>267</v>
      </c>
      <c r="L207" s="13"/>
      <c r="M207" s="13"/>
      <c r="N207" s="20" t="str">
        <f>HYPERLINK("http://slimages.macys.com/is/image/MCY/19545513 ")</f>
        <v xml:space="preserve">http://slimages.macys.com/is/image/MCY/19545513 </v>
      </c>
    </row>
    <row r="208" spans="1:14" x14ac:dyDescent="0.25">
      <c r="A208" s="19" t="s">
        <v>1931</v>
      </c>
      <c r="B208" s="13" t="s">
        <v>1932</v>
      </c>
      <c r="C208" s="8">
        <v>1</v>
      </c>
      <c r="D208" s="9">
        <v>27.99</v>
      </c>
      <c r="E208" s="9">
        <v>27.99</v>
      </c>
      <c r="F208" s="8" t="s">
        <v>1924</v>
      </c>
      <c r="G208" s="13" t="s">
        <v>78</v>
      </c>
      <c r="H208" s="19" t="s">
        <v>55</v>
      </c>
      <c r="I208" s="13" t="s">
        <v>11</v>
      </c>
      <c r="J208" s="13" t="s">
        <v>266</v>
      </c>
      <c r="K208" s="13" t="s">
        <v>267</v>
      </c>
      <c r="L208" s="13"/>
      <c r="M208" s="13"/>
      <c r="N208" s="20" t="str">
        <f>HYPERLINK("http://slimages.macys.com/is/image/MCY/18532343 ")</f>
        <v xml:space="preserve">http://slimages.macys.com/is/image/MCY/18532343 </v>
      </c>
    </row>
    <row r="209" spans="1:14" x14ac:dyDescent="0.25">
      <c r="A209" s="19" t="s">
        <v>3179</v>
      </c>
      <c r="B209" s="13" t="s">
        <v>3180</v>
      </c>
      <c r="C209" s="8">
        <v>1</v>
      </c>
      <c r="D209" s="9">
        <v>29.99</v>
      </c>
      <c r="E209" s="9">
        <v>29.99</v>
      </c>
      <c r="F209" s="8" t="s">
        <v>3181</v>
      </c>
      <c r="G209" s="13" t="s">
        <v>31</v>
      </c>
      <c r="H209" s="19" t="s">
        <v>32</v>
      </c>
      <c r="I209" s="13" t="s">
        <v>11</v>
      </c>
      <c r="J209" s="13" t="s">
        <v>266</v>
      </c>
      <c r="K209" s="13" t="s">
        <v>267</v>
      </c>
      <c r="L209" s="13"/>
      <c r="M209" s="13"/>
      <c r="N209" s="20" t="str">
        <f>HYPERLINK("http://slimages.macys.com/is/image/MCY/18306280 ")</f>
        <v xml:space="preserve">http://slimages.macys.com/is/image/MCY/18306280 </v>
      </c>
    </row>
    <row r="210" spans="1:14" x14ac:dyDescent="0.25">
      <c r="A210" s="19" t="s">
        <v>865</v>
      </c>
      <c r="B210" s="13" t="s">
        <v>866</v>
      </c>
      <c r="C210" s="8">
        <v>1</v>
      </c>
      <c r="D210" s="9">
        <v>5.6</v>
      </c>
      <c r="E210" s="9">
        <v>5.6</v>
      </c>
      <c r="F210" s="8">
        <v>100110139</v>
      </c>
      <c r="G210" s="13" t="s">
        <v>76</v>
      </c>
      <c r="H210" s="19" t="s">
        <v>27</v>
      </c>
      <c r="I210" s="13" t="s">
        <v>11</v>
      </c>
      <c r="J210" s="13" t="s">
        <v>457</v>
      </c>
      <c r="K210" s="13" t="s">
        <v>459</v>
      </c>
      <c r="L210" s="13"/>
      <c r="M210" s="13"/>
      <c r="N210" s="20" t="str">
        <f>HYPERLINK("http://slimages.macys.com/is/image/MCY/19787476 ")</f>
        <v xml:space="preserve">http://slimages.macys.com/is/image/MCY/19787476 </v>
      </c>
    </row>
    <row r="211" spans="1:14" x14ac:dyDescent="0.25">
      <c r="A211" s="19" t="s">
        <v>863</v>
      </c>
      <c r="B211" s="13" t="s">
        <v>864</v>
      </c>
      <c r="C211" s="8">
        <v>1</v>
      </c>
      <c r="D211" s="9">
        <v>5.6</v>
      </c>
      <c r="E211" s="9">
        <v>5.6</v>
      </c>
      <c r="F211" s="8">
        <v>100138182</v>
      </c>
      <c r="G211" s="13" t="s">
        <v>76</v>
      </c>
      <c r="H211" s="19" t="s">
        <v>40</v>
      </c>
      <c r="I211" s="13" t="s">
        <v>11</v>
      </c>
      <c r="J211" s="13" t="s">
        <v>457</v>
      </c>
      <c r="K211" s="13" t="s">
        <v>459</v>
      </c>
      <c r="L211" s="13"/>
      <c r="M211" s="13"/>
      <c r="N211" s="20" t="str">
        <f>HYPERLINK("http://slimages.macys.com/is/image/MCY/19787476 ")</f>
        <v xml:space="preserve">http://slimages.macys.com/is/image/MCY/19787476 </v>
      </c>
    </row>
    <row r="212" spans="1:14" x14ac:dyDescent="0.25">
      <c r="A212" s="19" t="s">
        <v>515</v>
      </c>
      <c r="B212" s="13" t="s">
        <v>516</v>
      </c>
      <c r="C212" s="8">
        <v>2</v>
      </c>
      <c r="D212" s="9">
        <v>5.6</v>
      </c>
      <c r="E212" s="9">
        <v>11.2</v>
      </c>
      <c r="F212" s="8">
        <v>100138182</v>
      </c>
      <c r="G212" s="13" t="s">
        <v>76</v>
      </c>
      <c r="H212" s="19"/>
      <c r="I212" s="13" t="s">
        <v>11</v>
      </c>
      <c r="J212" s="13" t="s">
        <v>457</v>
      </c>
      <c r="K212" s="13" t="s">
        <v>459</v>
      </c>
      <c r="L212" s="13"/>
      <c r="M212" s="13"/>
      <c r="N212" s="20" t="str">
        <f>HYPERLINK("http://slimages.macys.com/is/image/MCY/19787476 ")</f>
        <v xml:space="preserve">http://slimages.macys.com/is/image/MCY/19787476 </v>
      </c>
    </row>
    <row r="213" spans="1:14" x14ac:dyDescent="0.25">
      <c r="A213" s="19" t="s">
        <v>1071</v>
      </c>
      <c r="B213" s="13" t="s">
        <v>1072</v>
      </c>
      <c r="C213" s="8">
        <v>1</v>
      </c>
      <c r="D213" s="9">
        <v>10</v>
      </c>
      <c r="E213" s="9">
        <v>10</v>
      </c>
      <c r="F213" s="8">
        <v>100137424</v>
      </c>
      <c r="G213" s="13" t="s">
        <v>78</v>
      </c>
      <c r="H213" s="19" t="s">
        <v>87</v>
      </c>
      <c r="I213" s="13" t="s">
        <v>11</v>
      </c>
      <c r="J213" s="13" t="s">
        <v>457</v>
      </c>
      <c r="K213" s="13" t="s">
        <v>459</v>
      </c>
      <c r="L213" s="13"/>
      <c r="M213" s="13"/>
      <c r="N213" s="20" t="str">
        <f>HYPERLINK("http://slimages.macys.com/is/image/MCY/19877645 ")</f>
        <v xml:space="preserve">http://slimages.macys.com/is/image/MCY/19877645 </v>
      </c>
    </row>
    <row r="214" spans="1:14" x14ac:dyDescent="0.25">
      <c r="A214" s="19" t="s">
        <v>823</v>
      </c>
      <c r="B214" s="13" t="s">
        <v>824</v>
      </c>
      <c r="C214" s="8">
        <v>1</v>
      </c>
      <c r="D214" s="9">
        <v>10</v>
      </c>
      <c r="E214" s="9">
        <v>10</v>
      </c>
      <c r="F214" s="8">
        <v>100132111</v>
      </c>
      <c r="G214" s="13" t="s">
        <v>76</v>
      </c>
      <c r="H214" s="19" t="s">
        <v>27</v>
      </c>
      <c r="I214" s="13" t="s">
        <v>11</v>
      </c>
      <c r="J214" s="13" t="s">
        <v>457</v>
      </c>
      <c r="K214" s="13" t="s">
        <v>459</v>
      </c>
      <c r="L214" s="13"/>
      <c r="M214" s="13"/>
      <c r="N214" s="20" t="str">
        <f>HYPERLINK("http://slimages.macys.com/is/image/MCY/19278703 ")</f>
        <v xml:space="preserve">http://slimages.macys.com/is/image/MCY/19278703 </v>
      </c>
    </row>
    <row r="215" spans="1:14" x14ac:dyDescent="0.25">
      <c r="A215" s="19" t="s">
        <v>1075</v>
      </c>
      <c r="B215" s="13" t="s">
        <v>1076</v>
      </c>
      <c r="C215" s="8">
        <v>1</v>
      </c>
      <c r="D215" s="9">
        <v>10</v>
      </c>
      <c r="E215" s="9">
        <v>10</v>
      </c>
      <c r="F215" s="8">
        <v>100132111</v>
      </c>
      <c r="G215" s="13" t="s">
        <v>458</v>
      </c>
      <c r="H215" s="19"/>
      <c r="I215" s="13" t="s">
        <v>11</v>
      </c>
      <c r="J215" s="13" t="s">
        <v>457</v>
      </c>
      <c r="K215" s="13" t="s">
        <v>459</v>
      </c>
      <c r="L215" s="13"/>
      <c r="M215" s="13"/>
      <c r="N215" s="20" t="str">
        <f>HYPERLINK("http://slimages.macys.com/is/image/MCY/19278703 ")</f>
        <v xml:space="preserve">http://slimages.macys.com/is/image/MCY/19278703 </v>
      </c>
    </row>
    <row r="216" spans="1:14" x14ac:dyDescent="0.25">
      <c r="A216" s="19" t="s">
        <v>3251</v>
      </c>
      <c r="B216" s="13" t="s">
        <v>3252</v>
      </c>
      <c r="C216" s="8">
        <v>1</v>
      </c>
      <c r="D216" s="9">
        <v>5.6</v>
      </c>
      <c r="E216" s="9">
        <v>5.6</v>
      </c>
      <c r="F216" s="8">
        <v>100132186</v>
      </c>
      <c r="G216" s="13" t="s">
        <v>270</v>
      </c>
      <c r="H216" s="19" t="s">
        <v>40</v>
      </c>
      <c r="I216" s="13" t="s">
        <v>11</v>
      </c>
      <c r="J216" s="13" t="s">
        <v>457</v>
      </c>
      <c r="K216" s="13" t="s">
        <v>459</v>
      </c>
      <c r="L216" s="13"/>
      <c r="M216" s="13"/>
      <c r="N216" s="20" t="str">
        <f>HYPERLINK("http://slimages.macys.com/is/image/MCY/19278664 ")</f>
        <v xml:space="preserve">http://slimages.macys.com/is/image/MCY/19278664 </v>
      </c>
    </row>
    <row r="217" spans="1:14" x14ac:dyDescent="0.25">
      <c r="A217" s="19" t="s">
        <v>1782</v>
      </c>
      <c r="B217" s="13" t="s">
        <v>1783</v>
      </c>
      <c r="C217" s="8">
        <v>1</v>
      </c>
      <c r="D217" s="9">
        <v>5.6</v>
      </c>
      <c r="E217" s="9">
        <v>5.6</v>
      </c>
      <c r="F217" s="8">
        <v>100131486</v>
      </c>
      <c r="G217" s="13" t="s">
        <v>31</v>
      </c>
      <c r="H217" s="19"/>
      <c r="I217" s="13" t="s">
        <v>11</v>
      </c>
      <c r="J217" s="13" t="s">
        <v>457</v>
      </c>
      <c r="K217" s="13" t="s">
        <v>459</v>
      </c>
      <c r="L217" s="13"/>
      <c r="M217" s="13"/>
      <c r="N217" s="20" t="str">
        <f>HYPERLINK("http://slimages.macys.com/is/image/MCY/19918580 ")</f>
        <v xml:space="preserve">http://slimages.macys.com/is/image/MCY/19918580 </v>
      </c>
    </row>
    <row r="218" spans="1:14" x14ac:dyDescent="0.25">
      <c r="A218" s="19" t="s">
        <v>1386</v>
      </c>
      <c r="B218" s="13" t="s">
        <v>1387</v>
      </c>
      <c r="C218" s="8">
        <v>1</v>
      </c>
      <c r="D218" s="9">
        <v>25.2</v>
      </c>
      <c r="E218" s="9">
        <v>25.2</v>
      </c>
      <c r="F218" s="8">
        <v>16001</v>
      </c>
      <c r="G218" s="13" t="s">
        <v>163</v>
      </c>
      <c r="H218" s="19" t="s">
        <v>27</v>
      </c>
      <c r="I218" s="13" t="s">
        <v>11</v>
      </c>
      <c r="J218" s="13" t="s">
        <v>539</v>
      </c>
      <c r="K218" s="13" t="s">
        <v>889</v>
      </c>
      <c r="L218" s="13" t="s">
        <v>111</v>
      </c>
      <c r="M218" s="13" t="s">
        <v>890</v>
      </c>
      <c r="N218" s="20" t="str">
        <f>HYPERLINK("http://slimages.macys.com/is/image/MCY/16455565 ")</f>
        <v xml:space="preserve">http://slimages.macys.com/is/image/MCY/16455565 </v>
      </c>
    </row>
    <row r="219" spans="1:14" x14ac:dyDescent="0.25">
      <c r="A219" s="19" t="s">
        <v>3231</v>
      </c>
      <c r="B219" s="13" t="s">
        <v>3232</v>
      </c>
      <c r="C219" s="8">
        <v>1</v>
      </c>
      <c r="D219" s="9">
        <v>22.5</v>
      </c>
      <c r="E219" s="9">
        <v>22.5</v>
      </c>
      <c r="F219" s="8">
        <v>1541</v>
      </c>
      <c r="G219" s="13" t="s">
        <v>349</v>
      </c>
      <c r="H219" s="19" t="s">
        <v>1707</v>
      </c>
      <c r="I219" s="13" t="s">
        <v>11</v>
      </c>
      <c r="J219" s="13" t="s">
        <v>412</v>
      </c>
      <c r="K219" s="13" t="s">
        <v>413</v>
      </c>
      <c r="L219" s="13" t="s">
        <v>111</v>
      </c>
      <c r="M219" s="13" t="s">
        <v>415</v>
      </c>
      <c r="N219" s="20" t="str">
        <f>HYPERLINK("http://slimages.macys.com/is/image/MCY/10530776 ")</f>
        <v xml:space="preserve">http://slimages.macys.com/is/image/MCY/10530776 </v>
      </c>
    </row>
    <row r="220" spans="1:14" x14ac:dyDescent="0.25">
      <c r="A220" s="19" t="s">
        <v>3233</v>
      </c>
      <c r="B220" s="13" t="s">
        <v>3234</v>
      </c>
      <c r="C220" s="8">
        <v>1</v>
      </c>
      <c r="D220" s="9">
        <v>22.5</v>
      </c>
      <c r="E220" s="9">
        <v>22.5</v>
      </c>
      <c r="F220" s="8">
        <v>1541</v>
      </c>
      <c r="G220" s="13" t="s">
        <v>349</v>
      </c>
      <c r="H220" s="19" t="s">
        <v>418</v>
      </c>
      <c r="I220" s="13" t="s">
        <v>11</v>
      </c>
      <c r="J220" s="13" t="s">
        <v>412</v>
      </c>
      <c r="K220" s="13" t="s">
        <v>413</v>
      </c>
      <c r="L220" s="13" t="s">
        <v>111</v>
      </c>
      <c r="M220" s="13" t="s">
        <v>415</v>
      </c>
      <c r="N220" s="20" t="str">
        <f>HYPERLINK("http://slimages.macys.com/is/image/MCY/10530776 ")</f>
        <v xml:space="preserve">http://slimages.macys.com/is/image/MCY/10530776 </v>
      </c>
    </row>
    <row r="221" spans="1:14" x14ac:dyDescent="0.25">
      <c r="A221" s="19" t="s">
        <v>3273</v>
      </c>
      <c r="B221" s="13" t="s">
        <v>3274</v>
      </c>
      <c r="C221" s="8">
        <v>1</v>
      </c>
      <c r="D221" s="9">
        <v>26.6</v>
      </c>
      <c r="E221" s="9">
        <v>26.6</v>
      </c>
      <c r="F221" s="8">
        <v>16105</v>
      </c>
      <c r="G221" s="13" t="s">
        <v>201</v>
      </c>
      <c r="H221" s="19" t="s">
        <v>149</v>
      </c>
      <c r="I221" s="13" t="s">
        <v>11</v>
      </c>
      <c r="J221" s="13" t="s">
        <v>539</v>
      </c>
      <c r="K221" s="13" t="s">
        <v>889</v>
      </c>
      <c r="L221" s="13"/>
      <c r="M221" s="13"/>
      <c r="N221" s="20" t="str">
        <f>HYPERLINK("http://slimages.macys.com/is/image/MCY/17609139 ")</f>
        <v xml:space="preserve">http://slimages.macys.com/is/image/MCY/17609139 </v>
      </c>
    </row>
    <row r="222" spans="1:14" x14ac:dyDescent="0.25">
      <c r="A222" s="19" t="s">
        <v>3235</v>
      </c>
      <c r="B222" s="13" t="s">
        <v>3236</v>
      </c>
      <c r="C222" s="8">
        <v>1</v>
      </c>
      <c r="D222" s="9">
        <v>10</v>
      </c>
      <c r="E222" s="9">
        <v>10</v>
      </c>
      <c r="F222" s="8">
        <v>2045</v>
      </c>
      <c r="G222" s="13" t="s">
        <v>31</v>
      </c>
      <c r="H222" s="19" t="s">
        <v>416</v>
      </c>
      <c r="I222" s="13" t="s">
        <v>11</v>
      </c>
      <c r="J222" s="13" t="s">
        <v>412</v>
      </c>
      <c r="K222" s="13" t="s">
        <v>413</v>
      </c>
      <c r="L222" s="13" t="s">
        <v>111</v>
      </c>
      <c r="M222" s="13" t="s">
        <v>113</v>
      </c>
      <c r="N222" s="20" t="str">
        <f>HYPERLINK("http://slimages.macys.com/is/image/MCY/12081040 ")</f>
        <v xml:space="preserve">http://slimages.macys.com/is/image/MCY/12081040 </v>
      </c>
    </row>
    <row r="223" spans="1:14" x14ac:dyDescent="0.25">
      <c r="A223" s="19" t="s">
        <v>3275</v>
      </c>
      <c r="B223" s="13" t="s">
        <v>3276</v>
      </c>
      <c r="C223" s="8">
        <v>1</v>
      </c>
      <c r="D223" s="9">
        <v>23.8</v>
      </c>
      <c r="E223" s="9">
        <v>23.8</v>
      </c>
      <c r="F223" s="8">
        <v>16821</v>
      </c>
      <c r="G223" s="13" t="s">
        <v>83</v>
      </c>
      <c r="H223" s="19"/>
      <c r="I223" s="13" t="s">
        <v>11</v>
      </c>
      <c r="J223" s="13" t="s">
        <v>539</v>
      </c>
      <c r="K223" s="13" t="s">
        <v>889</v>
      </c>
      <c r="L223" s="13"/>
      <c r="M223" s="13"/>
      <c r="N223" s="20" t="str">
        <f>HYPERLINK("http://slimages.macys.com/is/image/MCY/19361081 ")</f>
        <v xml:space="preserve">http://slimages.macys.com/is/image/MCY/19361081 </v>
      </c>
    </row>
    <row r="224" spans="1:14" x14ac:dyDescent="0.25">
      <c r="A224" s="19" t="s">
        <v>3228</v>
      </c>
      <c r="B224" s="13" t="s">
        <v>3229</v>
      </c>
      <c r="C224" s="8">
        <v>1</v>
      </c>
      <c r="D224" s="9">
        <v>28.5</v>
      </c>
      <c r="E224" s="9">
        <v>28.5</v>
      </c>
      <c r="F224" s="8">
        <v>1770</v>
      </c>
      <c r="G224" s="13" t="s">
        <v>86</v>
      </c>
      <c r="H224" s="19" t="s">
        <v>416</v>
      </c>
      <c r="I224" s="13" t="s">
        <v>11</v>
      </c>
      <c r="J224" s="13" t="s">
        <v>412</v>
      </c>
      <c r="K224" s="13" t="s">
        <v>413</v>
      </c>
      <c r="L224" s="13" t="s">
        <v>111</v>
      </c>
      <c r="M224" s="13" t="s">
        <v>3230</v>
      </c>
      <c r="N224" s="20" t="str">
        <f>HYPERLINK("http://slimages.macys.com/is/image/MCY/16065850 ")</f>
        <v xml:space="preserve">http://slimages.macys.com/is/image/MCY/16065850 </v>
      </c>
    </row>
    <row r="225" spans="1:14" x14ac:dyDescent="0.25">
      <c r="A225" s="19" t="s">
        <v>3262</v>
      </c>
      <c r="B225" s="13" t="s">
        <v>3263</v>
      </c>
      <c r="C225" s="8">
        <v>1</v>
      </c>
      <c r="D225" s="9">
        <v>51.35</v>
      </c>
      <c r="E225" s="9">
        <v>51.35</v>
      </c>
      <c r="F225" s="8" t="s">
        <v>3264</v>
      </c>
      <c r="G225" s="13" t="s">
        <v>37</v>
      </c>
      <c r="H225" s="19" t="s">
        <v>149</v>
      </c>
      <c r="I225" s="13" t="s">
        <v>11</v>
      </c>
      <c r="J225" s="13" t="s">
        <v>539</v>
      </c>
      <c r="K225" s="13" t="s">
        <v>543</v>
      </c>
      <c r="L225" s="13"/>
      <c r="M225" s="13"/>
      <c r="N225" s="20" t="str">
        <f>HYPERLINK("http://slimages.macys.com/is/image/MCY/19741670 ")</f>
        <v xml:space="preserve">http://slimages.macys.com/is/image/MCY/19741670 </v>
      </c>
    </row>
    <row r="226" spans="1:14" x14ac:dyDescent="0.25">
      <c r="A226" s="19" t="s">
        <v>3260</v>
      </c>
      <c r="B226" s="13" t="s">
        <v>3261</v>
      </c>
      <c r="C226" s="8">
        <v>3</v>
      </c>
      <c r="D226" s="9">
        <v>69</v>
      </c>
      <c r="E226" s="9">
        <v>207</v>
      </c>
      <c r="F226" s="8" t="s">
        <v>3259</v>
      </c>
      <c r="G226" s="13" t="s">
        <v>78</v>
      </c>
      <c r="H226" s="19" t="s">
        <v>32</v>
      </c>
      <c r="I226" s="13" t="s">
        <v>11</v>
      </c>
      <c r="J226" s="13" t="s">
        <v>539</v>
      </c>
      <c r="K226" s="13" t="s">
        <v>543</v>
      </c>
      <c r="L226" s="13"/>
      <c r="M226" s="13"/>
      <c r="N226" s="20" t="str">
        <f>HYPERLINK("http://slimages.macys.com/is/image/MCY/19563993 ")</f>
        <v xml:space="preserve">http://slimages.macys.com/is/image/MCY/19563993 </v>
      </c>
    </row>
    <row r="227" spans="1:14" x14ac:dyDescent="0.25">
      <c r="A227" s="19" t="s">
        <v>3257</v>
      </c>
      <c r="B227" s="13" t="s">
        <v>3258</v>
      </c>
      <c r="C227" s="8">
        <v>2</v>
      </c>
      <c r="D227" s="9">
        <v>69</v>
      </c>
      <c r="E227" s="9">
        <v>138</v>
      </c>
      <c r="F227" s="8" t="s">
        <v>3259</v>
      </c>
      <c r="G227" s="13" t="s">
        <v>78</v>
      </c>
      <c r="H227" s="19" t="s">
        <v>27</v>
      </c>
      <c r="I227" s="13" t="s">
        <v>11</v>
      </c>
      <c r="J227" s="13" t="s">
        <v>539</v>
      </c>
      <c r="K227" s="13" t="s">
        <v>543</v>
      </c>
      <c r="L227" s="13"/>
      <c r="M227" s="13"/>
      <c r="N227" s="20" t="str">
        <f>HYPERLINK("http://slimages.macys.com/is/image/MCY/19563993 ")</f>
        <v xml:space="preserve">http://slimages.macys.com/is/image/MCY/19563993 </v>
      </c>
    </row>
    <row r="228" spans="1:14" x14ac:dyDescent="0.25">
      <c r="A228" s="19" t="s">
        <v>3087</v>
      </c>
      <c r="B228" s="13" t="s">
        <v>3088</v>
      </c>
      <c r="C228" s="8">
        <v>1</v>
      </c>
      <c r="D228" s="9">
        <v>45</v>
      </c>
      <c r="E228" s="9">
        <v>45</v>
      </c>
      <c r="F228" s="8" t="s">
        <v>3089</v>
      </c>
      <c r="G228" s="13" t="s">
        <v>214</v>
      </c>
      <c r="H228" s="19" t="s">
        <v>40</v>
      </c>
      <c r="I228" s="13" t="s">
        <v>11</v>
      </c>
      <c r="J228" s="13" t="s">
        <v>240</v>
      </c>
      <c r="K228" s="13" t="s">
        <v>245</v>
      </c>
      <c r="L228" s="13"/>
      <c r="M228" s="13"/>
      <c r="N228" s="20" t="str">
        <f>HYPERLINK("http://slimages.macys.com/is/image/MCY/18993040 ")</f>
        <v xml:space="preserve">http://slimages.macys.com/is/image/MCY/18993040 </v>
      </c>
    </row>
    <row r="229" spans="1:14" x14ac:dyDescent="0.25">
      <c r="A229" s="19" t="s">
        <v>3100</v>
      </c>
      <c r="B229" s="13" t="s">
        <v>3101</v>
      </c>
      <c r="C229" s="8">
        <v>1</v>
      </c>
      <c r="D229" s="9">
        <v>39</v>
      </c>
      <c r="E229" s="9">
        <v>39</v>
      </c>
      <c r="F229" s="8" t="s">
        <v>3102</v>
      </c>
      <c r="G229" s="13" t="s">
        <v>104</v>
      </c>
      <c r="H229" s="19" t="s">
        <v>32</v>
      </c>
      <c r="I229" s="13" t="s">
        <v>11</v>
      </c>
      <c r="J229" s="13" t="s">
        <v>240</v>
      </c>
      <c r="K229" s="13" t="s">
        <v>245</v>
      </c>
      <c r="L229" s="13"/>
      <c r="M229" s="13"/>
      <c r="N229" s="20" t="str">
        <f>HYPERLINK("http://slimages.macys.com/is/image/MCY/19633234 ")</f>
        <v xml:space="preserve">http://slimages.macys.com/is/image/MCY/19633234 </v>
      </c>
    </row>
    <row r="230" spans="1:14" x14ac:dyDescent="0.25">
      <c r="A230" s="19" t="s">
        <v>3090</v>
      </c>
      <c r="B230" s="13" t="s">
        <v>3091</v>
      </c>
      <c r="C230" s="8">
        <v>1</v>
      </c>
      <c r="D230" s="9">
        <v>42</v>
      </c>
      <c r="E230" s="9">
        <v>42</v>
      </c>
      <c r="F230" s="8" t="s">
        <v>3092</v>
      </c>
      <c r="G230" s="13" t="s">
        <v>58</v>
      </c>
      <c r="H230" s="19" t="s">
        <v>32</v>
      </c>
      <c r="I230" s="13" t="s">
        <v>11</v>
      </c>
      <c r="J230" s="13" t="s">
        <v>240</v>
      </c>
      <c r="K230" s="13" t="s">
        <v>245</v>
      </c>
      <c r="L230" s="13"/>
      <c r="M230" s="13"/>
      <c r="N230" s="20" t="str">
        <f>HYPERLINK("http://slimages.macys.com/is/image/MCY/19266269 ")</f>
        <v xml:space="preserve">http://slimages.macys.com/is/image/MCY/19266269 </v>
      </c>
    </row>
    <row r="231" spans="1:14" x14ac:dyDescent="0.25">
      <c r="A231" s="19" t="s">
        <v>3093</v>
      </c>
      <c r="B231" s="13" t="s">
        <v>3094</v>
      </c>
      <c r="C231" s="8">
        <v>1</v>
      </c>
      <c r="D231" s="9">
        <v>42</v>
      </c>
      <c r="E231" s="9">
        <v>42</v>
      </c>
      <c r="F231" s="8" t="s">
        <v>3092</v>
      </c>
      <c r="G231" s="13" t="s">
        <v>58</v>
      </c>
      <c r="H231" s="19" t="s">
        <v>40</v>
      </c>
      <c r="I231" s="13" t="s">
        <v>11</v>
      </c>
      <c r="J231" s="13" t="s">
        <v>240</v>
      </c>
      <c r="K231" s="13" t="s">
        <v>245</v>
      </c>
      <c r="L231" s="13"/>
      <c r="M231" s="13"/>
      <c r="N231" s="20" t="str">
        <f>HYPERLINK("http://slimages.macys.com/is/image/MCY/19266269 ")</f>
        <v xml:space="preserve">http://slimages.macys.com/is/image/MCY/19266269 </v>
      </c>
    </row>
    <row r="232" spans="1:14" x14ac:dyDescent="0.25">
      <c r="A232" s="19" t="s">
        <v>3085</v>
      </c>
      <c r="B232" s="13" t="s">
        <v>3086</v>
      </c>
      <c r="C232" s="8">
        <v>1</v>
      </c>
      <c r="D232" s="9">
        <v>51</v>
      </c>
      <c r="E232" s="9">
        <v>51</v>
      </c>
      <c r="F232" s="8" t="s">
        <v>244</v>
      </c>
      <c r="G232" s="13" t="s">
        <v>37</v>
      </c>
      <c r="H232" s="19" t="s">
        <v>55</v>
      </c>
      <c r="I232" s="13" t="s">
        <v>11</v>
      </c>
      <c r="J232" s="13" t="s">
        <v>240</v>
      </c>
      <c r="K232" s="13" t="s">
        <v>245</v>
      </c>
      <c r="L232" s="13"/>
      <c r="M232" s="13"/>
      <c r="N232" s="20" t="str">
        <f>HYPERLINK("http://slimages.macys.com/is/image/MCY/20021496 ")</f>
        <v xml:space="preserve">http://slimages.macys.com/is/image/MCY/20021496 </v>
      </c>
    </row>
    <row r="233" spans="1:14" x14ac:dyDescent="0.25">
      <c r="A233" s="19" t="s">
        <v>3109</v>
      </c>
      <c r="B233" s="13" t="s">
        <v>3110</v>
      </c>
      <c r="C233" s="8">
        <v>1</v>
      </c>
      <c r="D233" s="9">
        <v>33</v>
      </c>
      <c r="E233" s="9">
        <v>33</v>
      </c>
      <c r="F233" s="8" t="s">
        <v>3111</v>
      </c>
      <c r="G233" s="13" t="s">
        <v>58</v>
      </c>
      <c r="H233" s="19" t="s">
        <v>55</v>
      </c>
      <c r="I233" s="13" t="s">
        <v>11</v>
      </c>
      <c r="J233" s="13" t="s">
        <v>240</v>
      </c>
      <c r="K233" s="13" t="s">
        <v>245</v>
      </c>
      <c r="L233" s="13"/>
      <c r="M233" s="13"/>
      <c r="N233" s="20" t="str">
        <f>HYPERLINK("http://slimages.macys.com/is/image/MCY/19267006 ")</f>
        <v xml:space="preserve">http://slimages.macys.com/is/image/MCY/19267006 </v>
      </c>
    </row>
    <row r="234" spans="1:14" x14ac:dyDescent="0.25">
      <c r="A234" s="19" t="s">
        <v>3265</v>
      </c>
      <c r="B234" s="13" t="s">
        <v>3266</v>
      </c>
      <c r="C234" s="8">
        <v>1</v>
      </c>
      <c r="D234" s="9">
        <v>60</v>
      </c>
      <c r="E234" s="9">
        <v>60</v>
      </c>
      <c r="F234" s="8" t="s">
        <v>3267</v>
      </c>
      <c r="G234" s="13" t="s">
        <v>85</v>
      </c>
      <c r="H234" s="19" t="s">
        <v>27</v>
      </c>
      <c r="I234" s="13" t="s">
        <v>11</v>
      </c>
      <c r="J234" s="13" t="s">
        <v>539</v>
      </c>
      <c r="K234" s="13" t="s">
        <v>541</v>
      </c>
      <c r="L234" s="13"/>
      <c r="M234" s="13"/>
      <c r="N234" s="20" t="str">
        <f>HYPERLINK("http://slimages.macys.com/is/image/MCY/19545261 ")</f>
        <v xml:space="preserve">http://slimages.macys.com/is/image/MCY/19545261 </v>
      </c>
    </row>
    <row r="235" spans="1:14" x14ac:dyDescent="0.25">
      <c r="A235" s="19" t="s">
        <v>883</v>
      </c>
      <c r="B235" s="13" t="s">
        <v>884</v>
      </c>
      <c r="C235" s="8">
        <v>1</v>
      </c>
      <c r="D235" s="9">
        <v>34.5</v>
      </c>
      <c r="E235" s="9">
        <v>34.5</v>
      </c>
      <c r="F235" s="8" t="s">
        <v>885</v>
      </c>
      <c r="G235" s="13" t="s">
        <v>238</v>
      </c>
      <c r="H235" s="19" t="s">
        <v>40</v>
      </c>
      <c r="I235" s="13" t="s">
        <v>11</v>
      </c>
      <c r="J235" s="13" t="s">
        <v>539</v>
      </c>
      <c r="K235" s="13" t="s">
        <v>541</v>
      </c>
      <c r="L235" s="13"/>
      <c r="M235" s="13"/>
      <c r="N235" s="20" t="str">
        <f>HYPERLINK("http://slimages.macys.com/is/image/MCY/20020190 ")</f>
        <v xml:space="preserve">http://slimages.macys.com/is/image/MCY/20020190 </v>
      </c>
    </row>
    <row r="236" spans="1:14" x14ac:dyDescent="0.25">
      <c r="A236" s="19" t="s">
        <v>3268</v>
      </c>
      <c r="B236" s="13" t="s">
        <v>3269</v>
      </c>
      <c r="C236" s="8">
        <v>1</v>
      </c>
      <c r="D236" s="9">
        <v>50</v>
      </c>
      <c r="E236" s="9">
        <v>50</v>
      </c>
      <c r="F236" s="8">
        <v>806861</v>
      </c>
      <c r="G236" s="13" t="s">
        <v>135</v>
      </c>
      <c r="H236" s="19" t="s">
        <v>32</v>
      </c>
      <c r="I236" s="13" t="s">
        <v>11</v>
      </c>
      <c r="J236" s="13" t="s">
        <v>539</v>
      </c>
      <c r="K236" s="13" t="s">
        <v>541</v>
      </c>
      <c r="L236" s="13"/>
      <c r="M236" s="13"/>
      <c r="N236" s="20" t="str">
        <f>HYPERLINK("http://slimages.macys.com/is/image/MCY/19731976 ")</f>
        <v xml:space="preserve">http://slimages.macys.com/is/image/MCY/19731976 </v>
      </c>
    </row>
    <row r="237" spans="1:14" x14ac:dyDescent="0.25">
      <c r="A237" s="19" t="s">
        <v>546</v>
      </c>
      <c r="B237" s="13" t="s">
        <v>547</v>
      </c>
      <c r="C237" s="8">
        <v>1</v>
      </c>
      <c r="D237" s="9">
        <v>50</v>
      </c>
      <c r="E237" s="9">
        <v>50</v>
      </c>
      <c r="F237" s="8">
        <v>806861</v>
      </c>
      <c r="G237" s="13" t="s">
        <v>135</v>
      </c>
      <c r="H237" s="19" t="s">
        <v>40</v>
      </c>
      <c r="I237" s="13" t="s">
        <v>11</v>
      </c>
      <c r="J237" s="13" t="s">
        <v>539</v>
      </c>
      <c r="K237" s="13" t="s">
        <v>541</v>
      </c>
      <c r="L237" s="13"/>
      <c r="M237" s="13"/>
      <c r="N237" s="20" t="str">
        <f>HYPERLINK("http://slimages.macys.com/is/image/MCY/19731976 ")</f>
        <v xml:space="preserve">http://slimages.macys.com/is/image/MCY/19731976 </v>
      </c>
    </row>
    <row r="238" spans="1:14" x14ac:dyDescent="0.25">
      <c r="A238" s="19" t="s">
        <v>2775</v>
      </c>
      <c r="B238" s="13" t="s">
        <v>2776</v>
      </c>
      <c r="C238" s="8">
        <v>1</v>
      </c>
      <c r="D238" s="9">
        <v>27</v>
      </c>
      <c r="E238" s="9">
        <v>27</v>
      </c>
      <c r="F238" s="8" t="s">
        <v>2570</v>
      </c>
      <c r="G238" s="13" t="s">
        <v>963</v>
      </c>
      <c r="H238" s="19" t="s">
        <v>149</v>
      </c>
      <c r="I238" s="13" t="s">
        <v>11</v>
      </c>
      <c r="J238" s="13" t="s">
        <v>343</v>
      </c>
      <c r="K238" s="13" t="s">
        <v>393</v>
      </c>
      <c r="L238" s="13"/>
      <c r="M238" s="13"/>
      <c r="N238" s="20" t="str">
        <f>HYPERLINK("http://slimages.macys.com/is/image/MCY/20069875 ")</f>
        <v xml:space="preserve">http://slimages.macys.com/is/image/MCY/20069875 </v>
      </c>
    </row>
    <row r="239" spans="1:14" x14ac:dyDescent="0.25">
      <c r="A239" s="19" t="s">
        <v>3071</v>
      </c>
      <c r="B239" s="13" t="s">
        <v>3072</v>
      </c>
      <c r="C239" s="8">
        <v>1</v>
      </c>
      <c r="D239" s="9">
        <v>68</v>
      </c>
      <c r="E239" s="9">
        <v>68</v>
      </c>
      <c r="F239" s="8">
        <v>731050</v>
      </c>
      <c r="G239" s="13" t="s">
        <v>1625</v>
      </c>
      <c r="H239" s="19" t="s">
        <v>1115</v>
      </c>
      <c r="I239" s="13" t="s">
        <v>11</v>
      </c>
      <c r="J239" s="13" t="s">
        <v>217</v>
      </c>
      <c r="K239" s="13" t="s">
        <v>219</v>
      </c>
      <c r="L239" s="13" t="s">
        <v>111</v>
      </c>
      <c r="M239" s="13" t="s">
        <v>3073</v>
      </c>
      <c r="N239" s="20" t="str">
        <f>HYPERLINK("http://slimages.macys.com/is/image/MCY/3930311 ")</f>
        <v xml:space="preserve">http://slimages.macys.com/is/image/MCY/3930311 </v>
      </c>
    </row>
    <row r="240" spans="1:14" x14ac:dyDescent="0.25">
      <c r="A240" s="19" t="s">
        <v>3184</v>
      </c>
      <c r="B240" s="13" t="s">
        <v>3185</v>
      </c>
      <c r="C240" s="8">
        <v>1</v>
      </c>
      <c r="D240" s="9">
        <v>88</v>
      </c>
      <c r="E240" s="9">
        <v>88</v>
      </c>
      <c r="F240" s="8">
        <v>1260</v>
      </c>
      <c r="G240" s="13"/>
      <c r="H240" s="19" t="s">
        <v>231</v>
      </c>
      <c r="I240" s="13" t="s">
        <v>11</v>
      </c>
      <c r="J240" s="13" t="s">
        <v>343</v>
      </c>
      <c r="K240" s="13" t="s">
        <v>3186</v>
      </c>
      <c r="L240" s="13" t="s">
        <v>220</v>
      </c>
      <c r="M240" s="13" t="s">
        <v>3187</v>
      </c>
      <c r="N240" s="20" t="str">
        <f>HYPERLINK("http://images.bloomingdales.com/is/image/BLM/10254780 ")</f>
        <v xml:space="preserve">http://images.bloomingdales.com/is/image/BLM/10254780 </v>
      </c>
    </row>
    <row r="241" spans="1:14" x14ac:dyDescent="0.25">
      <c r="A241" s="19" t="s">
        <v>3005</v>
      </c>
      <c r="B241" s="13" t="s">
        <v>3006</v>
      </c>
      <c r="C241" s="8">
        <v>1</v>
      </c>
      <c r="D241" s="9">
        <v>33.6</v>
      </c>
      <c r="E241" s="9">
        <v>33.6</v>
      </c>
      <c r="F241" s="8">
        <v>4513</v>
      </c>
      <c r="G241" s="13" t="s">
        <v>124</v>
      </c>
      <c r="H241" s="19" t="s">
        <v>112</v>
      </c>
      <c r="I241" s="13" t="s">
        <v>11</v>
      </c>
      <c r="J241" s="13" t="s">
        <v>109</v>
      </c>
      <c r="K241" s="13" t="s">
        <v>116</v>
      </c>
      <c r="L241" s="13" t="s">
        <v>111</v>
      </c>
      <c r="M241" s="13" t="s">
        <v>605</v>
      </c>
      <c r="N241" s="20" t="str">
        <f>HYPERLINK("http://slimages.macys.com/is/image/MCY/3468586 ")</f>
        <v xml:space="preserve">http://slimages.macys.com/is/image/MCY/3468586 </v>
      </c>
    </row>
    <row r="242" spans="1:14" x14ac:dyDescent="0.25">
      <c r="A242" s="19" t="s">
        <v>3003</v>
      </c>
      <c r="B242" s="13" t="s">
        <v>3004</v>
      </c>
      <c r="C242" s="8">
        <v>1</v>
      </c>
      <c r="D242" s="9">
        <v>33.6</v>
      </c>
      <c r="E242" s="9">
        <v>33.6</v>
      </c>
      <c r="F242" s="8">
        <v>4422</v>
      </c>
      <c r="G242" s="13" t="s">
        <v>124</v>
      </c>
      <c r="H242" s="19" t="s">
        <v>126</v>
      </c>
      <c r="I242" s="13" t="s">
        <v>11</v>
      </c>
      <c r="J242" s="13" t="s">
        <v>109</v>
      </c>
      <c r="K242" s="13" t="s">
        <v>116</v>
      </c>
      <c r="L242" s="13" t="s">
        <v>111</v>
      </c>
      <c r="M242" s="13" t="s">
        <v>113</v>
      </c>
      <c r="N242" s="20" t="str">
        <f>HYPERLINK("http://slimages.macys.com/is/image/MCY/3745866 ")</f>
        <v xml:space="preserve">http://slimages.macys.com/is/image/MCY/3745866 </v>
      </c>
    </row>
    <row r="243" spans="1:14" x14ac:dyDescent="0.25">
      <c r="A243" s="19" t="s">
        <v>3192</v>
      </c>
      <c r="B243" s="13" t="s">
        <v>3193</v>
      </c>
      <c r="C243" s="8">
        <v>1</v>
      </c>
      <c r="D243" s="9">
        <v>68</v>
      </c>
      <c r="E243" s="9">
        <v>68</v>
      </c>
      <c r="F243" s="8" t="s">
        <v>3194</v>
      </c>
      <c r="G243" s="13" t="s">
        <v>120</v>
      </c>
      <c r="H243" s="19"/>
      <c r="I243" s="13" t="s">
        <v>11</v>
      </c>
      <c r="J243" s="13" t="s">
        <v>343</v>
      </c>
      <c r="K243" s="13" t="s">
        <v>1814</v>
      </c>
      <c r="L243" s="13"/>
      <c r="M243" s="13"/>
      <c r="N243" s="20" t="str">
        <f>HYPERLINK("http://slimages.macys.com/is/image/MCY/18347106 ")</f>
        <v xml:space="preserve">http://slimages.macys.com/is/image/MCY/18347106 </v>
      </c>
    </row>
    <row r="244" spans="1:14" x14ac:dyDescent="0.25">
      <c r="A244" s="19" t="s">
        <v>3216</v>
      </c>
      <c r="B244" s="13" t="s">
        <v>3217</v>
      </c>
      <c r="C244" s="8">
        <v>1</v>
      </c>
      <c r="D244" s="9">
        <v>27.6</v>
      </c>
      <c r="E244" s="9">
        <v>27.6</v>
      </c>
      <c r="F244" s="8" t="s">
        <v>392</v>
      </c>
      <c r="G244" s="13" t="s">
        <v>122</v>
      </c>
      <c r="H244" s="19" t="s">
        <v>32</v>
      </c>
      <c r="I244" s="13" t="s">
        <v>11</v>
      </c>
      <c r="J244" s="13" t="s">
        <v>343</v>
      </c>
      <c r="K244" s="13" t="s">
        <v>379</v>
      </c>
      <c r="L244" s="13"/>
      <c r="M244" s="13"/>
      <c r="N244" s="20" t="str">
        <f>HYPERLINK("http://slimages.macys.com/is/image/MCY/20376523 ")</f>
        <v xml:space="preserve">http://slimages.macys.com/is/image/MCY/20376523 </v>
      </c>
    </row>
    <row r="245" spans="1:14" x14ac:dyDescent="0.25">
      <c r="A245" s="19" t="s">
        <v>3206</v>
      </c>
      <c r="B245" s="13" t="s">
        <v>3207</v>
      </c>
      <c r="C245" s="8">
        <v>1</v>
      </c>
      <c r="D245" s="9">
        <v>34.799999999999997</v>
      </c>
      <c r="E245" s="9">
        <v>34.799999999999997</v>
      </c>
      <c r="F245" s="8" t="s">
        <v>1269</v>
      </c>
      <c r="G245" s="13" t="s">
        <v>205</v>
      </c>
      <c r="H245" s="19" t="s">
        <v>40</v>
      </c>
      <c r="I245" s="13" t="s">
        <v>11</v>
      </c>
      <c r="J245" s="13" t="s">
        <v>343</v>
      </c>
      <c r="K245" s="13" t="s">
        <v>379</v>
      </c>
      <c r="L245" s="13"/>
      <c r="M245" s="13"/>
      <c r="N245" s="20" t="str">
        <f>HYPERLINK("http://slimages.macys.com/is/image/MCY/20079059 ")</f>
        <v xml:space="preserve">http://slimages.macys.com/is/image/MCY/20079059 </v>
      </c>
    </row>
    <row r="246" spans="1:14" x14ac:dyDescent="0.25">
      <c r="A246" s="19" t="s">
        <v>3224</v>
      </c>
      <c r="B246" s="13" t="s">
        <v>3225</v>
      </c>
      <c r="C246" s="8">
        <v>1</v>
      </c>
      <c r="D246" s="9">
        <v>21.6</v>
      </c>
      <c r="E246" s="9">
        <v>21.6</v>
      </c>
      <c r="F246" s="8" t="s">
        <v>407</v>
      </c>
      <c r="G246" s="13" t="s">
        <v>102</v>
      </c>
      <c r="H246" s="19" t="s">
        <v>40</v>
      </c>
      <c r="I246" s="13" t="s">
        <v>11</v>
      </c>
      <c r="J246" s="13" t="s">
        <v>343</v>
      </c>
      <c r="K246" s="13" t="s">
        <v>379</v>
      </c>
      <c r="L246" s="13"/>
      <c r="M246" s="13"/>
      <c r="N246" s="20" t="str">
        <f>HYPERLINK("http://slimages.macys.com/is/image/MCY/19714365 ")</f>
        <v xml:space="preserve">http://slimages.macys.com/is/image/MCY/19714365 </v>
      </c>
    </row>
    <row r="247" spans="1:14" x14ac:dyDescent="0.25">
      <c r="A247" s="19" t="s">
        <v>3204</v>
      </c>
      <c r="B247" s="13" t="s">
        <v>3205</v>
      </c>
      <c r="C247" s="8">
        <v>1</v>
      </c>
      <c r="D247" s="9">
        <v>34.799999999999997</v>
      </c>
      <c r="E247" s="9">
        <v>34.799999999999997</v>
      </c>
      <c r="F247" s="8" t="s">
        <v>1260</v>
      </c>
      <c r="G247" s="13" t="s">
        <v>85</v>
      </c>
      <c r="H247" s="19" t="s">
        <v>40</v>
      </c>
      <c r="I247" s="13" t="s">
        <v>11</v>
      </c>
      <c r="J247" s="13" t="s">
        <v>343</v>
      </c>
      <c r="K247" s="13" t="s">
        <v>379</v>
      </c>
      <c r="L247" s="13"/>
      <c r="M247" s="13"/>
      <c r="N247" s="20" t="str">
        <f>HYPERLINK("http://slimages.macys.com/is/image/MCY/19670563 ")</f>
        <v xml:space="preserve">http://slimages.macys.com/is/image/MCY/19670563 </v>
      </c>
    </row>
    <row r="248" spans="1:14" x14ac:dyDescent="0.25">
      <c r="A248" s="19" t="s">
        <v>3201</v>
      </c>
      <c r="B248" s="13" t="s">
        <v>3202</v>
      </c>
      <c r="C248" s="8">
        <v>1</v>
      </c>
      <c r="D248" s="9">
        <v>38.4</v>
      </c>
      <c r="E248" s="9">
        <v>38.4</v>
      </c>
      <c r="F248" s="8" t="s">
        <v>3203</v>
      </c>
      <c r="G248" s="13" t="s">
        <v>44</v>
      </c>
      <c r="H248" s="19" t="s">
        <v>32</v>
      </c>
      <c r="I248" s="13" t="s">
        <v>11</v>
      </c>
      <c r="J248" s="13" t="s">
        <v>343</v>
      </c>
      <c r="K248" s="13" t="s">
        <v>379</v>
      </c>
      <c r="L248" s="13"/>
      <c r="M248" s="13"/>
      <c r="N248" s="20" t="str">
        <f>HYPERLINK("http://slimages.macys.com/is/image/MCY/20460410 ")</f>
        <v xml:space="preserve">http://slimages.macys.com/is/image/MCY/20460410 </v>
      </c>
    </row>
    <row r="249" spans="1:14" x14ac:dyDescent="0.25">
      <c r="A249" s="19" t="s">
        <v>1698</v>
      </c>
      <c r="B249" s="13" t="s">
        <v>3218</v>
      </c>
      <c r="C249" s="8">
        <v>1</v>
      </c>
      <c r="D249" s="9">
        <v>27.6</v>
      </c>
      <c r="E249" s="9">
        <v>27.6</v>
      </c>
      <c r="F249" s="8" t="s">
        <v>1045</v>
      </c>
      <c r="G249" s="13" t="s">
        <v>44</v>
      </c>
      <c r="H249" s="19" t="s">
        <v>32</v>
      </c>
      <c r="I249" s="13" t="s">
        <v>11</v>
      </c>
      <c r="J249" s="13" t="s">
        <v>343</v>
      </c>
      <c r="K249" s="13" t="s">
        <v>379</v>
      </c>
      <c r="L249" s="13"/>
      <c r="M249" s="13"/>
      <c r="N249" s="20" t="str">
        <f>HYPERLINK("http://slimages.macys.com/is/image/MCY/20376353 ")</f>
        <v xml:space="preserve">http://slimages.macys.com/is/image/MCY/20376353 </v>
      </c>
    </row>
    <row r="250" spans="1:14" x14ac:dyDescent="0.25">
      <c r="A250" s="19" t="s">
        <v>3076</v>
      </c>
      <c r="B250" s="13" t="s">
        <v>3077</v>
      </c>
      <c r="C250" s="8">
        <v>1</v>
      </c>
      <c r="D250" s="9">
        <v>60</v>
      </c>
      <c r="E250" s="9">
        <v>60</v>
      </c>
      <c r="F250" s="8">
        <v>85814</v>
      </c>
      <c r="G250" s="13" t="s">
        <v>120</v>
      </c>
      <c r="H250" s="19" t="s">
        <v>606</v>
      </c>
      <c r="I250" s="13" t="s">
        <v>11</v>
      </c>
      <c r="J250" s="13" t="s">
        <v>233</v>
      </c>
      <c r="K250" s="13" t="s">
        <v>234</v>
      </c>
      <c r="L250" s="13" t="s">
        <v>111</v>
      </c>
      <c r="M250" s="13" t="s">
        <v>725</v>
      </c>
      <c r="N250" s="20" t="str">
        <f>HYPERLINK("http://slimages.macys.com/is/image/MCY/3651277 ")</f>
        <v xml:space="preserve">http://slimages.macys.com/is/image/MCY/3651277 </v>
      </c>
    </row>
    <row r="251" spans="1:14" x14ac:dyDescent="0.25">
      <c r="A251" s="19" t="s">
        <v>3080</v>
      </c>
      <c r="B251" s="13" t="s">
        <v>3081</v>
      </c>
      <c r="C251" s="8">
        <v>1</v>
      </c>
      <c r="D251" s="9">
        <v>32</v>
      </c>
      <c r="E251" s="9">
        <v>32</v>
      </c>
      <c r="F251" s="8">
        <v>815378</v>
      </c>
      <c r="G251" s="13" t="s">
        <v>122</v>
      </c>
      <c r="H251" s="19" t="s">
        <v>32</v>
      </c>
      <c r="I251" s="13" t="s">
        <v>11</v>
      </c>
      <c r="J251" s="13" t="s">
        <v>233</v>
      </c>
      <c r="K251" s="13" t="s">
        <v>234</v>
      </c>
      <c r="L251" s="13"/>
      <c r="M251" s="13"/>
      <c r="N251" s="20" t="str">
        <f>HYPERLINK("http://slimages.macys.com/is/image/MCY/18752403 ")</f>
        <v xml:space="preserve">http://slimages.macys.com/is/image/MCY/18752403 </v>
      </c>
    </row>
    <row r="252" spans="1:14" x14ac:dyDescent="0.25">
      <c r="A252" s="19" t="s">
        <v>1676</v>
      </c>
      <c r="B252" s="13" t="s">
        <v>2763</v>
      </c>
      <c r="C252" s="8">
        <v>1</v>
      </c>
      <c r="D252" s="9">
        <v>32</v>
      </c>
      <c r="E252" s="9">
        <v>32</v>
      </c>
      <c r="F252" s="8">
        <v>815378</v>
      </c>
      <c r="G252" s="13" t="s">
        <v>122</v>
      </c>
      <c r="H252" s="19" t="s">
        <v>40</v>
      </c>
      <c r="I252" s="13" t="s">
        <v>11</v>
      </c>
      <c r="J252" s="13" t="s">
        <v>233</v>
      </c>
      <c r="K252" s="13" t="s">
        <v>234</v>
      </c>
      <c r="L252" s="13"/>
      <c r="M252" s="13"/>
      <c r="N252" s="20" t="str">
        <f>HYPERLINK("http://slimages.macys.com/is/image/MCY/18752403 ")</f>
        <v xml:space="preserve">http://slimages.macys.com/is/image/MCY/18752403 </v>
      </c>
    </row>
    <row r="253" spans="1:14" x14ac:dyDescent="0.25">
      <c r="A253" s="19" t="s">
        <v>1675</v>
      </c>
      <c r="B253" s="13" t="s">
        <v>2764</v>
      </c>
      <c r="C253" s="8">
        <v>1</v>
      </c>
      <c r="D253" s="9">
        <v>32</v>
      </c>
      <c r="E253" s="9">
        <v>32</v>
      </c>
      <c r="F253" s="8">
        <v>815378</v>
      </c>
      <c r="G253" s="13" t="s">
        <v>122</v>
      </c>
      <c r="H253" s="19" t="s">
        <v>55</v>
      </c>
      <c r="I253" s="13" t="s">
        <v>11</v>
      </c>
      <c r="J253" s="13" t="s">
        <v>233</v>
      </c>
      <c r="K253" s="13" t="s">
        <v>234</v>
      </c>
      <c r="L253" s="13"/>
      <c r="M253" s="13"/>
      <c r="N253" s="20" t="str">
        <f>HYPERLINK("http://slimages.macys.com/is/image/MCY/18752403 ")</f>
        <v xml:space="preserve">http://slimages.macys.com/is/image/MCY/18752403 </v>
      </c>
    </row>
    <row r="254" spans="1:14" x14ac:dyDescent="0.25">
      <c r="A254" s="19" t="s">
        <v>3078</v>
      </c>
      <c r="B254" s="13" t="s">
        <v>3079</v>
      </c>
      <c r="C254" s="8">
        <v>1</v>
      </c>
      <c r="D254" s="9">
        <v>48</v>
      </c>
      <c r="E254" s="9">
        <v>48</v>
      </c>
      <c r="F254" s="8">
        <v>65547</v>
      </c>
      <c r="G254" s="13" t="s">
        <v>114</v>
      </c>
      <c r="H254" s="19" t="s">
        <v>126</v>
      </c>
      <c r="I254" s="13" t="s">
        <v>11</v>
      </c>
      <c r="J254" s="13" t="s">
        <v>233</v>
      </c>
      <c r="K254" s="13" t="s">
        <v>234</v>
      </c>
      <c r="L254" s="13" t="s">
        <v>111</v>
      </c>
      <c r="M254" s="13" t="s">
        <v>113</v>
      </c>
      <c r="N254" s="20" t="str">
        <f>HYPERLINK("http://slimages.macys.com/is/image/MCY/3651267 ")</f>
        <v xml:space="preserve">http://slimages.macys.com/is/image/MCY/3651267 </v>
      </c>
    </row>
    <row r="255" spans="1:14" x14ac:dyDescent="0.25">
      <c r="A255" s="19" t="s">
        <v>1730</v>
      </c>
      <c r="B255" s="13" t="s">
        <v>1731</v>
      </c>
      <c r="C255" s="8">
        <v>1</v>
      </c>
      <c r="D255" s="9">
        <v>65</v>
      </c>
      <c r="E255" s="9">
        <v>65</v>
      </c>
      <c r="F255" s="8">
        <v>853186</v>
      </c>
      <c r="G255" s="13" t="s">
        <v>31</v>
      </c>
      <c r="H255" s="19" t="s">
        <v>1732</v>
      </c>
      <c r="I255" s="13" t="s">
        <v>11</v>
      </c>
      <c r="J255" s="13" t="s">
        <v>233</v>
      </c>
      <c r="K255" s="13" t="s">
        <v>234</v>
      </c>
      <c r="L255" s="13" t="s">
        <v>111</v>
      </c>
      <c r="M255" s="13" t="s">
        <v>1733</v>
      </c>
      <c r="N255" s="20" t="str">
        <f>HYPERLINK("http://slimages.macys.com/is/image/MCY/3437457 ")</f>
        <v xml:space="preserve">http://slimages.macys.com/is/image/MCY/3437457 </v>
      </c>
    </row>
    <row r="256" spans="1:14" x14ac:dyDescent="0.25">
      <c r="A256" s="19" t="s">
        <v>3074</v>
      </c>
      <c r="B256" s="13" t="s">
        <v>3075</v>
      </c>
      <c r="C256" s="8">
        <v>1</v>
      </c>
      <c r="D256" s="9">
        <v>68</v>
      </c>
      <c r="E256" s="9">
        <v>68</v>
      </c>
      <c r="F256" s="8">
        <v>855336</v>
      </c>
      <c r="G256" s="13" t="s">
        <v>85</v>
      </c>
      <c r="H256" s="19" t="s">
        <v>121</v>
      </c>
      <c r="I256" s="13" t="s">
        <v>11</v>
      </c>
      <c r="J256" s="13" t="s">
        <v>233</v>
      </c>
      <c r="K256" s="13" t="s">
        <v>234</v>
      </c>
      <c r="L256" s="13"/>
      <c r="M256" s="13"/>
      <c r="N256" s="20" t="str">
        <f>HYPERLINK("http://slimages.macys.com/is/image/MCY/16497272 ")</f>
        <v xml:space="preserve">http://slimages.macys.com/is/image/MCY/16497272 </v>
      </c>
    </row>
  </sheetData>
  <sortState ref="A2:N256">
    <sortCondition ref="B1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7"/>
  <sheetViews>
    <sheetView workbookViewId="0">
      <selection activeCell="E10" sqref="E10"/>
    </sheetView>
  </sheetViews>
  <sheetFormatPr defaultColWidth="102.85546875" defaultRowHeight="15" x14ac:dyDescent="0.25"/>
  <cols>
    <col min="1" max="1" width="13.140625" style="12" bestFit="1" customWidth="1"/>
    <col min="2" max="2" width="64.42578125" style="12" bestFit="1" customWidth="1"/>
    <col min="3" max="3" width="12.42578125" style="12" bestFit="1" customWidth="1"/>
    <col min="4" max="4" width="15" style="12" bestFit="1" customWidth="1"/>
    <col min="5" max="5" width="21" style="12" bestFit="1" customWidth="1"/>
    <col min="6" max="6" width="15.85546875" style="12" bestFit="1" customWidth="1"/>
    <col min="7" max="7" width="13.140625" style="12" bestFit="1" customWidth="1"/>
    <col min="8" max="8" width="10.85546875" style="12" bestFit="1" customWidth="1"/>
    <col min="9" max="9" width="8.140625" style="12" bestFit="1" customWidth="1"/>
    <col min="10" max="10" width="17.5703125" style="12" bestFit="1" customWidth="1"/>
    <col min="11" max="11" width="39.5703125" style="12" bestFit="1" customWidth="1"/>
    <col min="12" max="12" width="17.85546875" style="12" bestFit="1" customWidth="1"/>
    <col min="13" max="13" width="63.42578125" style="12" bestFit="1" customWidth="1"/>
    <col min="14" max="14" width="48.140625" style="12" bestFit="1" customWidth="1"/>
    <col min="15" max="16384" width="102.85546875" style="12"/>
  </cols>
  <sheetData>
    <row r="1" spans="1:14" x14ac:dyDescent="0.25">
      <c r="A1" s="1" t="s">
        <v>12</v>
      </c>
      <c r="B1" s="1" t="s">
        <v>13</v>
      </c>
      <c r="C1" s="1" t="s">
        <v>14</v>
      </c>
      <c r="D1" s="1" t="s">
        <v>5</v>
      </c>
      <c r="E1" s="1" t="s">
        <v>9</v>
      </c>
      <c r="F1" s="1" t="s">
        <v>15</v>
      </c>
      <c r="G1" s="1" t="s">
        <v>16</v>
      </c>
      <c r="H1" s="1" t="s">
        <v>17</v>
      </c>
      <c r="I1" s="1" t="s">
        <v>10</v>
      </c>
      <c r="J1" s="1" t="s">
        <v>18</v>
      </c>
      <c r="K1" s="1" t="s">
        <v>19</v>
      </c>
      <c r="L1" s="1" t="s">
        <v>20</v>
      </c>
      <c r="M1" s="1" t="s">
        <v>21</v>
      </c>
      <c r="N1" s="1" t="s">
        <v>22</v>
      </c>
    </row>
    <row r="2" spans="1:14" x14ac:dyDescent="0.25">
      <c r="A2" s="19" t="s">
        <v>59</v>
      </c>
      <c r="B2" s="13" t="s">
        <v>60</v>
      </c>
      <c r="C2" s="8">
        <v>1</v>
      </c>
      <c r="D2" s="9">
        <v>25.99</v>
      </c>
      <c r="E2" s="9">
        <v>25.99</v>
      </c>
      <c r="F2" s="8" t="s">
        <v>61</v>
      </c>
      <c r="G2" s="13" t="s">
        <v>31</v>
      </c>
      <c r="H2" s="19" t="s">
        <v>55</v>
      </c>
      <c r="I2" s="13" t="s">
        <v>11</v>
      </c>
      <c r="J2" s="13" t="s">
        <v>28</v>
      </c>
      <c r="K2" s="13" t="s">
        <v>29</v>
      </c>
      <c r="L2" s="13"/>
      <c r="M2" s="13"/>
      <c r="N2" s="20" t="str">
        <f>HYPERLINK("http://slimages.macys.com/is/image/MCY/18530208 ")</f>
        <v xml:space="preserve">http://slimages.macys.com/is/image/MCY/18530208 </v>
      </c>
    </row>
    <row r="3" spans="1:14" x14ac:dyDescent="0.25">
      <c r="A3" s="19" t="s">
        <v>3413</v>
      </c>
      <c r="B3" s="13" t="s">
        <v>3414</v>
      </c>
      <c r="C3" s="8">
        <v>1</v>
      </c>
      <c r="D3" s="9">
        <v>34.99</v>
      </c>
      <c r="E3" s="9">
        <v>34.99</v>
      </c>
      <c r="F3" s="8" t="s">
        <v>3415</v>
      </c>
      <c r="G3" s="13" t="s">
        <v>58</v>
      </c>
      <c r="H3" s="19" t="s">
        <v>32</v>
      </c>
      <c r="I3" s="13" t="s">
        <v>11</v>
      </c>
      <c r="J3" s="13" t="s">
        <v>28</v>
      </c>
      <c r="K3" s="13" t="s">
        <v>29</v>
      </c>
      <c r="L3" s="13"/>
      <c r="M3" s="13"/>
      <c r="N3" s="20" t="str">
        <f>HYPERLINK("http://slimages.macys.com/is/image/MCY/19601362 ")</f>
        <v xml:space="preserve">http://slimages.macys.com/is/image/MCY/19601362 </v>
      </c>
    </row>
    <row r="4" spans="1:14" x14ac:dyDescent="0.25">
      <c r="A4" s="19" t="s">
        <v>1654</v>
      </c>
      <c r="B4" s="13" t="s">
        <v>2056</v>
      </c>
      <c r="C4" s="8">
        <v>2</v>
      </c>
      <c r="D4" s="9">
        <v>44.99</v>
      </c>
      <c r="E4" s="9">
        <v>89.98</v>
      </c>
      <c r="F4" s="8" t="s">
        <v>565</v>
      </c>
      <c r="G4" s="13" t="s">
        <v>120</v>
      </c>
      <c r="H4" s="19" t="s">
        <v>40</v>
      </c>
      <c r="I4" s="13" t="s">
        <v>11</v>
      </c>
      <c r="J4" s="13" t="s">
        <v>28</v>
      </c>
      <c r="K4" s="13" t="s">
        <v>29</v>
      </c>
      <c r="L4" s="13"/>
      <c r="M4" s="13"/>
      <c r="N4" s="20" t="str">
        <f>HYPERLINK("http://slimages.macys.com/is/image/MCY/19287430 ")</f>
        <v xml:space="preserve">http://slimages.macys.com/is/image/MCY/19287430 </v>
      </c>
    </row>
    <row r="5" spans="1:14" x14ac:dyDescent="0.25">
      <c r="A5" s="19" t="s">
        <v>1122</v>
      </c>
      <c r="B5" s="13" t="s">
        <v>1123</v>
      </c>
      <c r="C5" s="8">
        <v>1</v>
      </c>
      <c r="D5" s="9">
        <v>44.99</v>
      </c>
      <c r="E5" s="9">
        <v>44.99</v>
      </c>
      <c r="F5" s="8" t="s">
        <v>896</v>
      </c>
      <c r="G5" s="13" t="s">
        <v>57</v>
      </c>
      <c r="H5" s="19" t="s">
        <v>87</v>
      </c>
      <c r="I5" s="13" t="s">
        <v>11</v>
      </c>
      <c r="J5" s="13" t="s">
        <v>28</v>
      </c>
      <c r="K5" s="13" t="s">
        <v>29</v>
      </c>
      <c r="L5" s="13"/>
      <c r="M5" s="13"/>
      <c r="N5" s="20" t="str">
        <f>HYPERLINK("http://slimages.macys.com/is/image/MCY/19287430 ")</f>
        <v xml:space="preserve">http://slimages.macys.com/is/image/MCY/19287430 </v>
      </c>
    </row>
    <row r="6" spans="1:14" x14ac:dyDescent="0.25">
      <c r="A6" s="19" t="s">
        <v>1135</v>
      </c>
      <c r="B6" s="13" t="s">
        <v>1136</v>
      </c>
      <c r="C6" s="8">
        <v>17</v>
      </c>
      <c r="D6" s="9">
        <v>39.99</v>
      </c>
      <c r="E6" s="9">
        <v>679.83</v>
      </c>
      <c r="F6" s="8" t="s">
        <v>576</v>
      </c>
      <c r="G6" s="13" t="s">
        <v>57</v>
      </c>
      <c r="H6" s="19" t="s">
        <v>32</v>
      </c>
      <c r="I6" s="13" t="s">
        <v>11</v>
      </c>
      <c r="J6" s="13" t="s">
        <v>28</v>
      </c>
      <c r="K6" s="13" t="s">
        <v>29</v>
      </c>
      <c r="L6" s="13"/>
      <c r="M6" s="13"/>
      <c r="N6" s="20" t="str">
        <f>HYPERLINK("http://slimages.macys.com/is/image/MCY/20052118 ")</f>
        <v xml:space="preserve">http://slimages.macys.com/is/image/MCY/20052118 </v>
      </c>
    </row>
    <row r="7" spans="1:14" x14ac:dyDescent="0.25">
      <c r="A7" s="19" t="s">
        <v>1131</v>
      </c>
      <c r="B7" s="13" t="s">
        <v>1132</v>
      </c>
      <c r="C7" s="8">
        <v>1</v>
      </c>
      <c r="D7" s="9">
        <v>25.99</v>
      </c>
      <c r="E7" s="9">
        <v>25.99</v>
      </c>
      <c r="F7" s="8" t="s">
        <v>71</v>
      </c>
      <c r="G7" s="13" t="s">
        <v>31</v>
      </c>
      <c r="H7" s="19" t="s">
        <v>40</v>
      </c>
      <c r="I7" s="13" t="s">
        <v>11</v>
      </c>
      <c r="J7" s="13" t="s">
        <v>28</v>
      </c>
      <c r="K7" s="13" t="s">
        <v>29</v>
      </c>
      <c r="L7" s="13"/>
      <c r="M7" s="13"/>
      <c r="N7" s="20" t="str">
        <f>HYPERLINK("http://slimages.macys.com/is/image/MCY/18574734 ")</f>
        <v xml:space="preserve">http://slimages.macys.com/is/image/MCY/18574734 </v>
      </c>
    </row>
    <row r="8" spans="1:14" x14ac:dyDescent="0.25">
      <c r="A8" s="19" t="s">
        <v>3411</v>
      </c>
      <c r="B8" s="13" t="s">
        <v>3412</v>
      </c>
      <c r="C8" s="8">
        <v>1</v>
      </c>
      <c r="D8" s="9">
        <v>44.99</v>
      </c>
      <c r="E8" s="9">
        <v>44.99</v>
      </c>
      <c r="F8" s="8" t="s">
        <v>1121</v>
      </c>
      <c r="G8" s="13" t="s">
        <v>120</v>
      </c>
      <c r="H8" s="19" t="s">
        <v>87</v>
      </c>
      <c r="I8" s="13" t="s">
        <v>11</v>
      </c>
      <c r="J8" s="13" t="s">
        <v>28</v>
      </c>
      <c r="K8" s="13" t="s">
        <v>29</v>
      </c>
      <c r="L8" s="13"/>
      <c r="M8" s="13"/>
      <c r="N8" s="20" t="str">
        <f>HYPERLINK("http://slimages.macys.com/is/image/MCY/19710675 ")</f>
        <v xml:space="preserve">http://slimages.macys.com/is/image/MCY/19710675 </v>
      </c>
    </row>
    <row r="9" spans="1:14" x14ac:dyDescent="0.25">
      <c r="A9" s="19" t="s">
        <v>3430</v>
      </c>
      <c r="B9" s="13" t="s">
        <v>3431</v>
      </c>
      <c r="C9" s="8">
        <v>3</v>
      </c>
      <c r="D9" s="9">
        <v>28</v>
      </c>
      <c r="E9" s="9">
        <v>84</v>
      </c>
      <c r="F9" s="8" t="s">
        <v>695</v>
      </c>
      <c r="G9" s="13" t="s">
        <v>82</v>
      </c>
      <c r="H9" s="19" t="s">
        <v>55</v>
      </c>
      <c r="I9" s="13" t="s">
        <v>11</v>
      </c>
      <c r="J9" s="13" t="s">
        <v>142</v>
      </c>
      <c r="K9" s="13" t="s">
        <v>143</v>
      </c>
      <c r="L9" s="13" t="s">
        <v>111</v>
      </c>
      <c r="M9" s="13" t="s">
        <v>697</v>
      </c>
      <c r="N9" s="20" t="str">
        <f>HYPERLINK("http://slimages.macys.com/is/image/MCY/16151180 ")</f>
        <v xml:space="preserve">http://slimages.macys.com/is/image/MCY/16151180 </v>
      </c>
    </row>
    <row r="10" spans="1:14" x14ac:dyDescent="0.25">
      <c r="A10" s="19" t="s">
        <v>3421</v>
      </c>
      <c r="B10" s="13" t="s">
        <v>3422</v>
      </c>
      <c r="C10" s="8">
        <v>19</v>
      </c>
      <c r="D10" s="9">
        <v>49</v>
      </c>
      <c r="E10" s="9">
        <v>931</v>
      </c>
      <c r="F10" s="8" t="s">
        <v>665</v>
      </c>
      <c r="G10" s="13" t="s">
        <v>488</v>
      </c>
      <c r="H10" s="19" t="s">
        <v>149</v>
      </c>
      <c r="I10" s="13" t="s">
        <v>11</v>
      </c>
      <c r="J10" s="13" t="s">
        <v>142</v>
      </c>
      <c r="K10" s="13" t="s">
        <v>143</v>
      </c>
      <c r="L10" s="13" t="s">
        <v>111</v>
      </c>
      <c r="M10" s="13" t="s">
        <v>666</v>
      </c>
      <c r="N10" s="20" t="str">
        <f>HYPERLINK("http://slimages.macys.com/is/image/MCY/16329180 ")</f>
        <v xml:space="preserve">http://slimages.macys.com/is/image/MCY/16329180 </v>
      </c>
    </row>
    <row r="11" spans="1:14" x14ac:dyDescent="0.25">
      <c r="A11" s="19" t="s">
        <v>3423</v>
      </c>
      <c r="B11" s="13" t="s">
        <v>3424</v>
      </c>
      <c r="C11" s="8">
        <v>1</v>
      </c>
      <c r="D11" s="9">
        <v>46</v>
      </c>
      <c r="E11" s="9">
        <v>46</v>
      </c>
      <c r="F11" s="8" t="s">
        <v>675</v>
      </c>
      <c r="G11" s="13" t="s">
        <v>201</v>
      </c>
      <c r="H11" s="19" t="s">
        <v>724</v>
      </c>
      <c r="I11" s="13" t="s">
        <v>11</v>
      </c>
      <c r="J11" s="13" t="s">
        <v>142</v>
      </c>
      <c r="K11" s="13" t="s">
        <v>143</v>
      </c>
      <c r="L11" s="13"/>
      <c r="M11" s="13"/>
      <c r="N11" s="20" t="str">
        <f>HYPERLINK("http://slimages.macys.com/is/image/MCY/8959790 ")</f>
        <v xml:space="preserve">http://slimages.macys.com/is/image/MCY/8959790 </v>
      </c>
    </row>
    <row r="12" spans="1:14" x14ac:dyDescent="0.25">
      <c r="A12" s="19" t="s">
        <v>698</v>
      </c>
      <c r="B12" s="13" t="s">
        <v>699</v>
      </c>
      <c r="C12" s="8">
        <v>1</v>
      </c>
      <c r="D12" s="9">
        <v>28</v>
      </c>
      <c r="E12" s="9">
        <v>28</v>
      </c>
      <c r="F12" s="8" t="s">
        <v>176</v>
      </c>
      <c r="G12" s="13" t="s">
        <v>31</v>
      </c>
      <c r="H12" s="19" t="s">
        <v>55</v>
      </c>
      <c r="I12" s="13" t="s">
        <v>11</v>
      </c>
      <c r="J12" s="13" t="s">
        <v>142</v>
      </c>
      <c r="K12" s="13" t="s">
        <v>143</v>
      </c>
      <c r="L12" s="13"/>
      <c r="M12" s="13"/>
      <c r="N12" s="20" t="str">
        <f>HYPERLINK("http://slimages.macys.com/is/image/MCY/16362827 ")</f>
        <v xml:space="preserve">http://slimages.macys.com/is/image/MCY/16362827 </v>
      </c>
    </row>
    <row r="13" spans="1:14" x14ac:dyDescent="0.25">
      <c r="A13" s="19" t="s">
        <v>3425</v>
      </c>
      <c r="B13" s="13" t="s">
        <v>3426</v>
      </c>
      <c r="C13" s="8">
        <v>1</v>
      </c>
      <c r="D13" s="9">
        <v>42</v>
      </c>
      <c r="E13" s="9">
        <v>42</v>
      </c>
      <c r="F13" s="8" t="s">
        <v>3427</v>
      </c>
      <c r="G13" s="13" t="s">
        <v>31</v>
      </c>
      <c r="H13" s="19" t="s">
        <v>677</v>
      </c>
      <c r="I13" s="13" t="s">
        <v>11</v>
      </c>
      <c r="J13" s="13" t="s">
        <v>142</v>
      </c>
      <c r="K13" s="13" t="s">
        <v>143</v>
      </c>
      <c r="L13" s="13" t="s">
        <v>3428</v>
      </c>
      <c r="M13" s="13" t="s">
        <v>3429</v>
      </c>
      <c r="N13" s="20" t="str">
        <f>HYPERLINK("http://images.bloomingdales.com/is/image/BLM/10810872 ")</f>
        <v xml:space="preserve">http://images.bloomingdales.com/is/image/BLM/10810872 </v>
      </c>
    </row>
    <row r="14" spans="1:14" x14ac:dyDescent="0.25">
      <c r="A14" s="19" t="s">
        <v>1167</v>
      </c>
      <c r="B14" s="13" t="s">
        <v>1168</v>
      </c>
      <c r="C14" s="8">
        <v>1</v>
      </c>
      <c r="D14" s="9">
        <v>42</v>
      </c>
      <c r="E14" s="9">
        <v>42</v>
      </c>
      <c r="F14" s="8" t="s">
        <v>148</v>
      </c>
      <c r="G14" s="13" t="s">
        <v>31</v>
      </c>
      <c r="H14" s="19" t="s">
        <v>158</v>
      </c>
      <c r="I14" s="13" t="s">
        <v>11</v>
      </c>
      <c r="J14" s="13" t="s">
        <v>142</v>
      </c>
      <c r="K14" s="13" t="s">
        <v>143</v>
      </c>
      <c r="L14" s="13" t="s">
        <v>111</v>
      </c>
      <c r="M14" s="13" t="s">
        <v>118</v>
      </c>
      <c r="N14" s="20" t="str">
        <f>HYPERLINK("http://slimages.macys.com/is/image/MCY/15297085 ")</f>
        <v xml:space="preserve">http://slimages.macys.com/is/image/MCY/15297085 </v>
      </c>
    </row>
    <row r="15" spans="1:14" x14ac:dyDescent="0.25">
      <c r="A15" s="19" t="s">
        <v>3419</v>
      </c>
      <c r="B15" s="13" t="s">
        <v>3420</v>
      </c>
      <c r="C15" s="8">
        <v>3</v>
      </c>
      <c r="D15" s="9">
        <v>49.99</v>
      </c>
      <c r="E15" s="9">
        <v>149.97</v>
      </c>
      <c r="F15" s="8" t="s">
        <v>3418</v>
      </c>
      <c r="G15" s="13" t="s">
        <v>205</v>
      </c>
      <c r="H15" s="19" t="s">
        <v>27</v>
      </c>
      <c r="I15" s="13" t="s">
        <v>11</v>
      </c>
      <c r="J15" s="13" t="s">
        <v>130</v>
      </c>
      <c r="K15" s="13" t="s">
        <v>131</v>
      </c>
      <c r="L15" s="13"/>
      <c r="M15" s="13"/>
      <c r="N15" s="20" t="str">
        <f>HYPERLINK("http://slimages.macys.com/is/image/MCY/19339592 ")</f>
        <v xml:space="preserve">http://slimages.macys.com/is/image/MCY/19339592 </v>
      </c>
    </row>
    <row r="16" spans="1:14" x14ac:dyDescent="0.25">
      <c r="A16" s="19" t="s">
        <v>3416</v>
      </c>
      <c r="B16" s="13" t="s">
        <v>3417</v>
      </c>
      <c r="C16" s="8">
        <v>1</v>
      </c>
      <c r="D16" s="9">
        <v>49.99</v>
      </c>
      <c r="E16" s="9">
        <v>49.99</v>
      </c>
      <c r="F16" s="8" t="s">
        <v>3418</v>
      </c>
      <c r="G16" s="13" t="s">
        <v>205</v>
      </c>
      <c r="H16" s="19" t="s">
        <v>47</v>
      </c>
      <c r="I16" s="13" t="s">
        <v>11</v>
      </c>
      <c r="J16" s="13" t="s">
        <v>130</v>
      </c>
      <c r="K16" s="13" t="s">
        <v>131</v>
      </c>
      <c r="L16" s="13"/>
      <c r="M16" s="13"/>
      <c r="N16" s="20" t="str">
        <f>HYPERLINK("http://slimages.macys.com/is/image/MCY/19339592 ")</f>
        <v xml:space="preserve">http://slimages.macys.com/is/image/MCY/19339592 </v>
      </c>
    </row>
    <row r="17" spans="1:14" x14ac:dyDescent="0.25">
      <c r="A17" s="19" t="s">
        <v>3516</v>
      </c>
      <c r="B17" s="13" t="s">
        <v>3517</v>
      </c>
      <c r="C17" s="8">
        <v>12</v>
      </c>
      <c r="D17" s="9">
        <v>48.3</v>
      </c>
      <c r="E17" s="9">
        <v>579.6</v>
      </c>
      <c r="F17" s="8" t="s">
        <v>552</v>
      </c>
      <c r="G17" s="13" t="s">
        <v>137</v>
      </c>
      <c r="H17" s="19" t="s">
        <v>32</v>
      </c>
      <c r="I17" s="13" t="s">
        <v>11</v>
      </c>
      <c r="J17" s="13" t="s">
        <v>539</v>
      </c>
      <c r="K17" s="13" t="s">
        <v>551</v>
      </c>
      <c r="L17" s="13"/>
      <c r="M17" s="13"/>
      <c r="N17" s="20" t="str">
        <f>HYPERLINK("http://slimages.macys.com/is/image/MCY/19781798 ")</f>
        <v xml:space="preserve">http://slimages.macys.com/is/image/MCY/19781798 </v>
      </c>
    </row>
    <row r="18" spans="1:14" x14ac:dyDescent="0.25">
      <c r="A18" s="19" t="s">
        <v>3465</v>
      </c>
      <c r="B18" s="13" t="s">
        <v>3466</v>
      </c>
      <c r="C18" s="8">
        <v>1</v>
      </c>
      <c r="D18" s="9">
        <v>58</v>
      </c>
      <c r="E18" s="9">
        <v>58</v>
      </c>
      <c r="F18" s="8" t="s">
        <v>3404</v>
      </c>
      <c r="G18" s="13" t="s">
        <v>225</v>
      </c>
      <c r="H18" s="19" t="s">
        <v>227</v>
      </c>
      <c r="I18" s="13" t="s">
        <v>11</v>
      </c>
      <c r="J18" s="13" t="s">
        <v>343</v>
      </c>
      <c r="K18" s="13" t="s">
        <v>344</v>
      </c>
      <c r="L18" s="13"/>
      <c r="M18" s="13"/>
      <c r="N18" s="20" t="str">
        <f>HYPERLINK("http://slimages.macys.com/is/image/MCY/19106827 ")</f>
        <v xml:space="preserve">http://slimages.macys.com/is/image/MCY/19106827 </v>
      </c>
    </row>
    <row r="19" spans="1:14" x14ac:dyDescent="0.25">
      <c r="A19" s="19" t="s">
        <v>3524</v>
      </c>
      <c r="B19" s="13" t="s">
        <v>3525</v>
      </c>
      <c r="C19" s="8">
        <v>3</v>
      </c>
      <c r="D19" s="9">
        <v>18</v>
      </c>
      <c r="E19" s="9">
        <v>54</v>
      </c>
      <c r="F19" s="8" t="s">
        <v>3523</v>
      </c>
      <c r="G19" s="13" t="s">
        <v>122</v>
      </c>
      <c r="H19" s="19" t="s">
        <v>32</v>
      </c>
      <c r="I19" s="13" t="s">
        <v>11</v>
      </c>
      <c r="J19" s="13" t="s">
        <v>217</v>
      </c>
      <c r="K19" s="13" t="s">
        <v>226</v>
      </c>
      <c r="L19" s="13"/>
      <c r="M19" s="13"/>
      <c r="N19" s="20"/>
    </row>
    <row r="20" spans="1:14" x14ac:dyDescent="0.25">
      <c r="A20" s="19" t="s">
        <v>3521</v>
      </c>
      <c r="B20" s="13" t="s">
        <v>3522</v>
      </c>
      <c r="C20" s="8">
        <v>1</v>
      </c>
      <c r="D20" s="9">
        <v>18</v>
      </c>
      <c r="E20" s="9">
        <v>18</v>
      </c>
      <c r="F20" s="8" t="s">
        <v>3523</v>
      </c>
      <c r="G20" s="13" t="s">
        <v>37</v>
      </c>
      <c r="H20" s="19" t="s">
        <v>40</v>
      </c>
      <c r="I20" s="13" t="s">
        <v>11</v>
      </c>
      <c r="J20" s="13" t="s">
        <v>217</v>
      </c>
      <c r="K20" s="13" t="s">
        <v>226</v>
      </c>
      <c r="L20" s="13"/>
      <c r="M20" s="13"/>
      <c r="N20" s="20"/>
    </row>
    <row r="21" spans="1:14" x14ac:dyDescent="0.25">
      <c r="A21" s="19" t="s">
        <v>3538</v>
      </c>
      <c r="B21" s="13" t="s">
        <v>3539</v>
      </c>
      <c r="C21" s="8">
        <v>1</v>
      </c>
      <c r="D21" s="9">
        <v>44.99</v>
      </c>
      <c r="E21" s="9">
        <v>44.99</v>
      </c>
      <c r="F21" s="8" t="s">
        <v>3535</v>
      </c>
      <c r="G21" s="13" t="s">
        <v>122</v>
      </c>
      <c r="H21" s="19" t="s">
        <v>40</v>
      </c>
      <c r="I21" s="13" t="s">
        <v>11</v>
      </c>
      <c r="J21" s="13" t="s">
        <v>263</v>
      </c>
      <c r="K21" s="13" t="s">
        <v>264</v>
      </c>
      <c r="L21" s="13"/>
      <c r="M21" s="13"/>
      <c r="N21" s="20"/>
    </row>
    <row r="22" spans="1:14" x14ac:dyDescent="0.25">
      <c r="A22" s="19" t="s">
        <v>3533</v>
      </c>
      <c r="B22" s="13" t="s">
        <v>3534</v>
      </c>
      <c r="C22" s="8">
        <v>1</v>
      </c>
      <c r="D22" s="9">
        <v>26.11</v>
      </c>
      <c r="E22" s="9">
        <v>26.11</v>
      </c>
      <c r="F22" s="8" t="s">
        <v>3535</v>
      </c>
      <c r="G22" s="13" t="s">
        <v>122</v>
      </c>
      <c r="H22" s="19" t="s">
        <v>55</v>
      </c>
      <c r="I22" s="13" t="s">
        <v>11</v>
      </c>
      <c r="J22" s="13" t="s">
        <v>263</v>
      </c>
      <c r="K22" s="13" t="s">
        <v>264</v>
      </c>
      <c r="L22" s="13"/>
      <c r="M22" s="13"/>
      <c r="N22" s="20"/>
    </row>
    <row r="23" spans="1:14" x14ac:dyDescent="0.25">
      <c r="A23" s="19" t="s">
        <v>3536</v>
      </c>
      <c r="B23" s="13" t="s">
        <v>3537</v>
      </c>
      <c r="C23" s="8">
        <v>3</v>
      </c>
      <c r="D23" s="9">
        <v>44.99</v>
      </c>
      <c r="E23" s="9">
        <v>134.97</v>
      </c>
      <c r="F23" s="8" t="s">
        <v>3535</v>
      </c>
      <c r="G23" s="13" t="s">
        <v>122</v>
      </c>
      <c r="H23" s="19" t="s">
        <v>87</v>
      </c>
      <c r="I23" s="13" t="s">
        <v>11</v>
      </c>
      <c r="J23" s="13" t="s">
        <v>263</v>
      </c>
      <c r="K23" s="13" t="s">
        <v>264</v>
      </c>
      <c r="L23" s="13"/>
      <c r="M23" s="13"/>
      <c r="N23" s="20"/>
    </row>
    <row r="24" spans="1:14" x14ac:dyDescent="0.25">
      <c r="A24" s="19" t="s">
        <v>3531</v>
      </c>
      <c r="B24" s="13" t="s">
        <v>3532</v>
      </c>
      <c r="C24" s="8">
        <v>14</v>
      </c>
      <c r="D24" s="9">
        <v>44.99</v>
      </c>
      <c r="E24" s="9">
        <v>629.86</v>
      </c>
      <c r="F24" s="8" t="s">
        <v>3528</v>
      </c>
      <c r="G24" s="13" t="s">
        <v>122</v>
      </c>
      <c r="H24" s="19" t="s">
        <v>40</v>
      </c>
      <c r="I24" s="13" t="s">
        <v>11</v>
      </c>
      <c r="J24" s="13" t="s">
        <v>263</v>
      </c>
      <c r="K24" s="13" t="s">
        <v>264</v>
      </c>
      <c r="L24" s="13"/>
      <c r="M24" s="13"/>
      <c r="N24" s="20"/>
    </row>
    <row r="25" spans="1:14" x14ac:dyDescent="0.25">
      <c r="A25" s="19" t="s">
        <v>3526</v>
      </c>
      <c r="B25" s="13" t="s">
        <v>3527</v>
      </c>
      <c r="C25" s="8">
        <v>3</v>
      </c>
      <c r="D25" s="9">
        <v>44.99</v>
      </c>
      <c r="E25" s="9">
        <v>134.97</v>
      </c>
      <c r="F25" s="8" t="s">
        <v>3528</v>
      </c>
      <c r="G25" s="13" t="s">
        <v>122</v>
      </c>
      <c r="H25" s="19" t="s">
        <v>55</v>
      </c>
      <c r="I25" s="13" t="s">
        <v>11</v>
      </c>
      <c r="J25" s="13" t="s">
        <v>263</v>
      </c>
      <c r="K25" s="13" t="s">
        <v>264</v>
      </c>
      <c r="L25" s="13"/>
      <c r="M25" s="13"/>
      <c r="N25" s="20"/>
    </row>
    <row r="26" spans="1:14" x14ac:dyDescent="0.25">
      <c r="A26" s="19" t="s">
        <v>3529</v>
      </c>
      <c r="B26" s="13" t="s">
        <v>3530</v>
      </c>
      <c r="C26" s="8">
        <v>3</v>
      </c>
      <c r="D26" s="9">
        <v>44.99</v>
      </c>
      <c r="E26" s="9">
        <v>134.97</v>
      </c>
      <c r="F26" s="8" t="s">
        <v>3528</v>
      </c>
      <c r="G26" s="13" t="s">
        <v>122</v>
      </c>
      <c r="H26" s="19" t="s">
        <v>87</v>
      </c>
      <c r="I26" s="13" t="s">
        <v>11</v>
      </c>
      <c r="J26" s="13" t="s">
        <v>263</v>
      </c>
      <c r="K26" s="13" t="s">
        <v>264</v>
      </c>
      <c r="L26" s="13"/>
      <c r="M26" s="13"/>
      <c r="N26" s="20"/>
    </row>
    <row r="27" spans="1:14" x14ac:dyDescent="0.25">
      <c r="A27" s="19" t="s">
        <v>3518</v>
      </c>
      <c r="B27" s="13" t="s">
        <v>3519</v>
      </c>
      <c r="C27" s="8">
        <v>1</v>
      </c>
      <c r="D27" s="9">
        <v>18</v>
      </c>
      <c r="E27" s="9">
        <v>18</v>
      </c>
      <c r="F27" s="8" t="s">
        <v>3520</v>
      </c>
      <c r="G27" s="13" t="s">
        <v>122</v>
      </c>
      <c r="H27" s="19" t="s">
        <v>32</v>
      </c>
      <c r="I27" s="13" t="s">
        <v>11</v>
      </c>
      <c r="J27" s="13" t="s">
        <v>217</v>
      </c>
      <c r="K27" s="13" t="s">
        <v>226</v>
      </c>
      <c r="L27" s="13"/>
      <c r="M27" s="13"/>
      <c r="N27" s="20"/>
    </row>
    <row r="28" spans="1:14" x14ac:dyDescent="0.25">
      <c r="A28" s="19" t="s">
        <v>3437</v>
      </c>
      <c r="B28" s="13" t="s">
        <v>3438</v>
      </c>
      <c r="C28" s="8">
        <v>1</v>
      </c>
      <c r="D28" s="9">
        <v>32.99</v>
      </c>
      <c r="E28" s="9">
        <v>32.99</v>
      </c>
      <c r="F28" s="8">
        <v>100127586</v>
      </c>
      <c r="G28" s="13" t="s">
        <v>37</v>
      </c>
      <c r="H28" s="19" t="s">
        <v>40</v>
      </c>
      <c r="I28" s="13" t="s">
        <v>11</v>
      </c>
      <c r="J28" s="13" t="s">
        <v>260</v>
      </c>
      <c r="K28" s="13" t="s">
        <v>261</v>
      </c>
      <c r="L28" s="13"/>
      <c r="M28" s="13"/>
      <c r="N28" s="20" t="str">
        <f>HYPERLINK("http://slimages.macys.com/is/image/MCY/19163062 ")</f>
        <v xml:space="preserve">http://slimages.macys.com/is/image/MCY/19163062 </v>
      </c>
    </row>
    <row r="29" spans="1:14" x14ac:dyDescent="0.25">
      <c r="A29" s="19" t="s">
        <v>3442</v>
      </c>
      <c r="B29" s="13" t="s">
        <v>3443</v>
      </c>
      <c r="C29" s="8">
        <v>1</v>
      </c>
      <c r="D29" s="9">
        <v>19.989999999999998</v>
      </c>
      <c r="E29" s="9">
        <v>19.989999999999998</v>
      </c>
      <c r="F29" s="8">
        <v>100073008</v>
      </c>
      <c r="G29" s="13" t="s">
        <v>37</v>
      </c>
      <c r="H29" s="19" t="s">
        <v>32</v>
      </c>
      <c r="I29" s="13" t="s">
        <v>11</v>
      </c>
      <c r="J29" s="13" t="s">
        <v>260</v>
      </c>
      <c r="K29" s="13" t="s">
        <v>996</v>
      </c>
      <c r="L29" s="13" t="s">
        <v>111</v>
      </c>
      <c r="M29" s="13" t="s">
        <v>985</v>
      </c>
      <c r="N29" s="20" t="str">
        <f>HYPERLINK("http://slimages.macys.com/is/image/MCY/13914274 ")</f>
        <v xml:space="preserve">http://slimages.macys.com/is/image/MCY/13914274 </v>
      </c>
    </row>
    <row r="30" spans="1:14" x14ac:dyDescent="0.25">
      <c r="A30" s="19" t="s">
        <v>3439</v>
      </c>
      <c r="B30" s="13" t="s">
        <v>3440</v>
      </c>
      <c r="C30" s="8">
        <v>1</v>
      </c>
      <c r="D30" s="9">
        <v>39.99</v>
      </c>
      <c r="E30" s="9">
        <v>39.99</v>
      </c>
      <c r="F30" s="8" t="s">
        <v>3441</v>
      </c>
      <c r="G30" s="13" t="s">
        <v>83</v>
      </c>
      <c r="H30" s="19" t="s">
        <v>158</v>
      </c>
      <c r="I30" s="13" t="s">
        <v>11</v>
      </c>
      <c r="J30" s="13" t="s">
        <v>260</v>
      </c>
      <c r="K30" s="13" t="s">
        <v>261</v>
      </c>
      <c r="L30" s="13"/>
      <c r="M30" s="13"/>
      <c r="N30" s="20" t="str">
        <f>HYPERLINK("http://slimages.macys.com/is/image/MCY/19163194 ")</f>
        <v xml:space="preserve">http://slimages.macys.com/is/image/MCY/19163194 </v>
      </c>
    </row>
    <row r="31" spans="1:14" x14ac:dyDescent="0.25">
      <c r="A31" s="19" t="s">
        <v>1500</v>
      </c>
      <c r="B31" s="13" t="s">
        <v>1501</v>
      </c>
      <c r="C31" s="8">
        <v>8</v>
      </c>
      <c r="D31" s="9">
        <v>34</v>
      </c>
      <c r="E31" s="9">
        <v>272</v>
      </c>
      <c r="F31" s="8">
        <v>900633</v>
      </c>
      <c r="G31" s="13" t="s">
        <v>488</v>
      </c>
      <c r="H31" s="19" t="s">
        <v>32</v>
      </c>
      <c r="I31" s="13" t="s">
        <v>11</v>
      </c>
      <c r="J31" s="13" t="s">
        <v>343</v>
      </c>
      <c r="K31" s="13" t="s">
        <v>354</v>
      </c>
      <c r="L31" s="13"/>
      <c r="M31" s="13"/>
      <c r="N31" s="20" t="str">
        <f>HYPERLINK("http://slimages.macys.com/is/image/MCY/19539433 ")</f>
        <v xml:space="preserve">http://slimages.macys.com/is/image/MCY/19539433 </v>
      </c>
    </row>
    <row r="32" spans="1:14" x14ac:dyDescent="0.25">
      <c r="A32" s="19" t="s">
        <v>1246</v>
      </c>
      <c r="B32" s="13" t="s">
        <v>1247</v>
      </c>
      <c r="C32" s="8">
        <v>11</v>
      </c>
      <c r="D32" s="9">
        <v>58</v>
      </c>
      <c r="E32" s="9">
        <v>638</v>
      </c>
      <c r="F32" s="8">
        <v>900634</v>
      </c>
      <c r="G32" s="13" t="s">
        <v>31</v>
      </c>
      <c r="H32" s="19" t="s">
        <v>32</v>
      </c>
      <c r="I32" s="13" t="s">
        <v>11</v>
      </c>
      <c r="J32" s="13" t="s">
        <v>343</v>
      </c>
      <c r="K32" s="13" t="s">
        <v>354</v>
      </c>
      <c r="L32" s="13"/>
      <c r="M32" s="13"/>
      <c r="N32" s="20" t="str">
        <f>HYPERLINK("http://slimages.macys.com/is/image/MCY/19539454 ")</f>
        <v xml:space="preserve">http://slimages.macys.com/is/image/MCY/19539454 </v>
      </c>
    </row>
    <row r="33" spans="1:14" x14ac:dyDescent="0.25">
      <c r="A33" s="19" t="s">
        <v>3457</v>
      </c>
      <c r="B33" s="13" t="s">
        <v>3458</v>
      </c>
      <c r="C33" s="8">
        <v>9</v>
      </c>
      <c r="D33" s="9">
        <v>72</v>
      </c>
      <c r="E33" s="9">
        <v>648</v>
      </c>
      <c r="F33" s="8">
        <v>900637</v>
      </c>
      <c r="G33" s="13" t="s">
        <v>488</v>
      </c>
      <c r="H33" s="19" t="s">
        <v>32</v>
      </c>
      <c r="I33" s="13" t="s">
        <v>11</v>
      </c>
      <c r="J33" s="13" t="s">
        <v>343</v>
      </c>
      <c r="K33" s="13" t="s">
        <v>354</v>
      </c>
      <c r="L33" s="13"/>
      <c r="M33" s="13"/>
      <c r="N33" s="20" t="str">
        <f>HYPERLINK("http://slimages.macys.com/is/image/MCY/19539451 ")</f>
        <v xml:space="preserve">http://slimages.macys.com/is/image/MCY/19539451 </v>
      </c>
    </row>
    <row r="34" spans="1:14" x14ac:dyDescent="0.25">
      <c r="A34" s="19" t="s">
        <v>1617</v>
      </c>
      <c r="B34" s="13" t="s">
        <v>1618</v>
      </c>
      <c r="C34" s="8">
        <v>9</v>
      </c>
      <c r="D34" s="9">
        <v>72</v>
      </c>
      <c r="E34" s="9">
        <v>648</v>
      </c>
      <c r="F34" s="8">
        <v>900637</v>
      </c>
      <c r="G34" s="13" t="s">
        <v>488</v>
      </c>
      <c r="H34" s="19" t="s">
        <v>40</v>
      </c>
      <c r="I34" s="13" t="s">
        <v>11</v>
      </c>
      <c r="J34" s="13" t="s">
        <v>343</v>
      </c>
      <c r="K34" s="13" t="s">
        <v>354</v>
      </c>
      <c r="L34" s="13"/>
      <c r="M34" s="13"/>
      <c r="N34" s="20" t="str">
        <f>HYPERLINK("http://slimages.macys.com/is/image/MCY/19539451 ")</f>
        <v xml:space="preserve">http://slimages.macys.com/is/image/MCY/19539451 </v>
      </c>
    </row>
    <row r="35" spans="1:14" x14ac:dyDescent="0.25">
      <c r="A35" s="19" t="s">
        <v>1469</v>
      </c>
      <c r="B35" s="13" t="s">
        <v>1470</v>
      </c>
      <c r="C35" s="8">
        <v>19</v>
      </c>
      <c r="D35" s="9">
        <v>58</v>
      </c>
      <c r="E35" s="9">
        <v>1102</v>
      </c>
      <c r="F35" s="8">
        <v>900647</v>
      </c>
      <c r="G35" s="13" t="s">
        <v>488</v>
      </c>
      <c r="H35" s="19" t="s">
        <v>40</v>
      </c>
      <c r="I35" s="13" t="s">
        <v>11</v>
      </c>
      <c r="J35" s="13" t="s">
        <v>343</v>
      </c>
      <c r="K35" s="13" t="s">
        <v>354</v>
      </c>
      <c r="L35" s="13"/>
      <c r="M35" s="13"/>
      <c r="N35" s="20" t="str">
        <f>HYPERLINK("http://slimages.macys.com/is/image/MCY/19539364 ")</f>
        <v xml:space="preserve">http://slimages.macys.com/is/image/MCY/19539364 </v>
      </c>
    </row>
    <row r="36" spans="1:14" x14ac:dyDescent="0.25">
      <c r="A36" s="19" t="s">
        <v>3467</v>
      </c>
      <c r="B36" s="13" t="s">
        <v>3468</v>
      </c>
      <c r="C36" s="8">
        <v>7</v>
      </c>
      <c r="D36" s="9">
        <v>48</v>
      </c>
      <c r="E36" s="9">
        <v>336</v>
      </c>
      <c r="F36" s="8">
        <v>900626</v>
      </c>
      <c r="G36" s="13" t="s">
        <v>1625</v>
      </c>
      <c r="H36" s="19" t="s">
        <v>32</v>
      </c>
      <c r="I36" s="13" t="s">
        <v>11</v>
      </c>
      <c r="J36" s="13" t="s">
        <v>343</v>
      </c>
      <c r="K36" s="13" t="s">
        <v>354</v>
      </c>
      <c r="L36" s="13"/>
      <c r="M36" s="13"/>
      <c r="N36" s="20" t="str">
        <f>HYPERLINK("http://slimages.macys.com/is/image/MCY/19735420 ")</f>
        <v xml:space="preserve">http://slimages.macys.com/is/image/MCY/19735420 </v>
      </c>
    </row>
    <row r="37" spans="1:14" x14ac:dyDescent="0.25">
      <c r="A37" s="19" t="s">
        <v>2647</v>
      </c>
      <c r="B37" s="13" t="s">
        <v>2648</v>
      </c>
      <c r="C37" s="8">
        <v>5</v>
      </c>
      <c r="D37" s="9">
        <v>48</v>
      </c>
      <c r="E37" s="9">
        <v>240</v>
      </c>
      <c r="F37" s="8">
        <v>900626</v>
      </c>
      <c r="G37" s="13" t="s">
        <v>1625</v>
      </c>
      <c r="H37" s="19" t="s">
        <v>40</v>
      </c>
      <c r="I37" s="13" t="s">
        <v>11</v>
      </c>
      <c r="J37" s="13" t="s">
        <v>343</v>
      </c>
      <c r="K37" s="13" t="s">
        <v>354</v>
      </c>
      <c r="L37" s="13"/>
      <c r="M37" s="13"/>
      <c r="N37" s="20" t="str">
        <f>HYPERLINK("http://slimages.macys.com/is/image/MCY/19735420 ")</f>
        <v xml:space="preserve">http://slimages.macys.com/is/image/MCY/19735420 </v>
      </c>
    </row>
    <row r="38" spans="1:14" x14ac:dyDescent="0.25">
      <c r="A38" s="19" t="s">
        <v>1623</v>
      </c>
      <c r="B38" s="13" t="s">
        <v>1624</v>
      </c>
      <c r="C38" s="8">
        <v>4</v>
      </c>
      <c r="D38" s="9">
        <v>48</v>
      </c>
      <c r="E38" s="9">
        <v>192</v>
      </c>
      <c r="F38" s="8">
        <v>900626</v>
      </c>
      <c r="G38" s="13" t="s">
        <v>1625</v>
      </c>
      <c r="H38" s="19" t="s">
        <v>27</v>
      </c>
      <c r="I38" s="13" t="s">
        <v>11</v>
      </c>
      <c r="J38" s="13" t="s">
        <v>343</v>
      </c>
      <c r="K38" s="13" t="s">
        <v>354</v>
      </c>
      <c r="L38" s="13"/>
      <c r="M38" s="13"/>
      <c r="N38" s="20" t="str">
        <f>HYPERLINK("http://slimages.macys.com/is/image/MCY/19735420 ")</f>
        <v xml:space="preserve">http://slimages.macys.com/is/image/MCY/19735420 </v>
      </c>
    </row>
    <row r="39" spans="1:14" x14ac:dyDescent="0.25">
      <c r="A39" s="19" t="s">
        <v>3475</v>
      </c>
      <c r="B39" s="13" t="s">
        <v>3476</v>
      </c>
      <c r="C39" s="8">
        <v>2</v>
      </c>
      <c r="D39" s="9">
        <v>34</v>
      </c>
      <c r="E39" s="9">
        <v>68</v>
      </c>
      <c r="F39" s="8">
        <v>940121</v>
      </c>
      <c r="G39" s="13" t="s">
        <v>26</v>
      </c>
      <c r="H39" s="19" t="s">
        <v>27</v>
      </c>
      <c r="I39" s="13" t="s">
        <v>11</v>
      </c>
      <c r="J39" s="13" t="s">
        <v>343</v>
      </c>
      <c r="K39" s="13" t="s">
        <v>354</v>
      </c>
      <c r="L39" s="13"/>
      <c r="M39" s="13"/>
      <c r="N39" s="20" t="str">
        <f>HYPERLINK("http://slimages.macys.com/is/image/MCY/19568093 ")</f>
        <v xml:space="preserve">http://slimages.macys.com/is/image/MCY/19568093 </v>
      </c>
    </row>
    <row r="40" spans="1:14" x14ac:dyDescent="0.25">
      <c r="A40" s="19" t="s">
        <v>3459</v>
      </c>
      <c r="B40" s="13" t="s">
        <v>3460</v>
      </c>
      <c r="C40" s="8">
        <v>1</v>
      </c>
      <c r="D40" s="9">
        <v>51</v>
      </c>
      <c r="E40" s="9">
        <v>51</v>
      </c>
      <c r="F40" s="8">
        <v>31915</v>
      </c>
      <c r="G40" s="13" t="s">
        <v>37</v>
      </c>
      <c r="H40" s="19" t="s">
        <v>55</v>
      </c>
      <c r="I40" s="13" t="s">
        <v>11</v>
      </c>
      <c r="J40" s="13" t="s">
        <v>343</v>
      </c>
      <c r="K40" s="13" t="s">
        <v>347</v>
      </c>
      <c r="L40" s="13"/>
      <c r="M40" s="13"/>
      <c r="N40" s="20" t="str">
        <f>HYPERLINK("http://slimages.macys.com/is/image/MCY/19962862 ")</f>
        <v xml:space="preserve">http://slimages.macys.com/is/image/MCY/19962862 </v>
      </c>
    </row>
    <row r="41" spans="1:14" x14ac:dyDescent="0.25">
      <c r="A41" s="19" t="s">
        <v>1816</v>
      </c>
      <c r="B41" s="13" t="s">
        <v>1817</v>
      </c>
      <c r="C41" s="8">
        <v>1</v>
      </c>
      <c r="D41" s="9">
        <v>40</v>
      </c>
      <c r="E41" s="9">
        <v>40</v>
      </c>
      <c r="F41" s="8">
        <v>100077742</v>
      </c>
      <c r="G41" s="13" t="s">
        <v>124</v>
      </c>
      <c r="H41" s="19" t="s">
        <v>55</v>
      </c>
      <c r="I41" s="13" t="s">
        <v>11</v>
      </c>
      <c r="J41" s="13" t="s">
        <v>427</v>
      </c>
      <c r="K41" s="13" t="s">
        <v>428</v>
      </c>
      <c r="L41" s="13" t="s">
        <v>111</v>
      </c>
      <c r="M41" s="13" t="s">
        <v>431</v>
      </c>
      <c r="N41" s="20" t="str">
        <f>HYPERLINK("http://slimages.macys.com/is/image/MCY/17534305 ")</f>
        <v xml:space="preserve">http://slimages.macys.com/is/image/MCY/17534305 </v>
      </c>
    </row>
    <row r="42" spans="1:14" x14ac:dyDescent="0.25">
      <c r="A42" s="19" t="s">
        <v>3469</v>
      </c>
      <c r="B42" s="13" t="s">
        <v>3470</v>
      </c>
      <c r="C42" s="8">
        <v>1</v>
      </c>
      <c r="D42" s="9">
        <v>34</v>
      </c>
      <c r="E42" s="9">
        <v>34</v>
      </c>
      <c r="F42" s="8" t="s">
        <v>771</v>
      </c>
      <c r="G42" s="13" t="s">
        <v>122</v>
      </c>
      <c r="H42" s="19" t="s">
        <v>40</v>
      </c>
      <c r="I42" s="13" t="s">
        <v>11</v>
      </c>
      <c r="J42" s="13" t="s">
        <v>343</v>
      </c>
      <c r="K42" s="13" t="s">
        <v>366</v>
      </c>
      <c r="L42" s="13"/>
      <c r="M42" s="13"/>
      <c r="N42" s="20" t="str">
        <f>HYPERLINK("http://slimages.macys.com/is/image/MCY/19734579 ")</f>
        <v xml:space="preserve">http://slimages.macys.com/is/image/MCY/19734579 </v>
      </c>
    </row>
    <row r="43" spans="1:14" x14ac:dyDescent="0.25">
      <c r="A43" s="19" t="s">
        <v>3473</v>
      </c>
      <c r="B43" s="13" t="s">
        <v>3474</v>
      </c>
      <c r="C43" s="8">
        <v>3</v>
      </c>
      <c r="D43" s="9">
        <v>34</v>
      </c>
      <c r="E43" s="9">
        <v>102</v>
      </c>
      <c r="F43" s="8" t="s">
        <v>770</v>
      </c>
      <c r="G43" s="13" t="s">
        <v>205</v>
      </c>
      <c r="H43" s="19" t="s">
        <v>27</v>
      </c>
      <c r="I43" s="13" t="s">
        <v>11</v>
      </c>
      <c r="J43" s="13" t="s">
        <v>343</v>
      </c>
      <c r="K43" s="13" t="s">
        <v>366</v>
      </c>
      <c r="L43" s="13"/>
      <c r="M43" s="13"/>
      <c r="N43" s="20" t="str">
        <f>HYPERLINK("http://slimages.macys.com/is/image/MCY/19673301 ")</f>
        <v xml:space="preserve">http://slimages.macys.com/is/image/MCY/19673301 </v>
      </c>
    </row>
    <row r="44" spans="1:14" x14ac:dyDescent="0.25">
      <c r="A44" s="19" t="s">
        <v>3471</v>
      </c>
      <c r="B44" s="13" t="s">
        <v>3472</v>
      </c>
      <c r="C44" s="8">
        <v>1</v>
      </c>
      <c r="D44" s="9">
        <v>34</v>
      </c>
      <c r="E44" s="9">
        <v>34</v>
      </c>
      <c r="F44" s="8" t="s">
        <v>365</v>
      </c>
      <c r="G44" s="13" t="s">
        <v>31</v>
      </c>
      <c r="H44" s="19" t="s">
        <v>27</v>
      </c>
      <c r="I44" s="13" t="s">
        <v>11</v>
      </c>
      <c r="J44" s="13" t="s">
        <v>343</v>
      </c>
      <c r="K44" s="13" t="s">
        <v>366</v>
      </c>
      <c r="L44" s="13"/>
      <c r="M44" s="13"/>
      <c r="N44" s="20" t="str">
        <f>HYPERLINK("http://slimages.macys.com/is/image/MCY/20072217 ")</f>
        <v xml:space="preserve">http://slimages.macys.com/is/image/MCY/20072217 </v>
      </c>
    </row>
    <row r="45" spans="1:14" x14ac:dyDescent="0.25">
      <c r="A45" s="19" t="s">
        <v>1493</v>
      </c>
      <c r="B45" s="13" t="s">
        <v>1494</v>
      </c>
      <c r="C45" s="8">
        <v>1</v>
      </c>
      <c r="D45" s="9">
        <v>34</v>
      </c>
      <c r="E45" s="9">
        <v>34</v>
      </c>
      <c r="F45" s="8" t="s">
        <v>365</v>
      </c>
      <c r="G45" s="13" t="s">
        <v>44</v>
      </c>
      <c r="H45" s="19" t="s">
        <v>32</v>
      </c>
      <c r="I45" s="13" t="s">
        <v>11</v>
      </c>
      <c r="J45" s="13" t="s">
        <v>343</v>
      </c>
      <c r="K45" s="13" t="s">
        <v>366</v>
      </c>
      <c r="L45" s="13"/>
      <c r="M45" s="13"/>
      <c r="N45" s="20" t="str">
        <f>HYPERLINK("http://slimages.macys.com/is/image/MCY/20072217 ")</f>
        <v xml:space="preserve">http://slimages.macys.com/is/image/MCY/20072217 </v>
      </c>
    </row>
    <row r="46" spans="1:14" x14ac:dyDescent="0.25">
      <c r="A46" s="19" t="s">
        <v>1482</v>
      </c>
      <c r="B46" s="13" t="s">
        <v>1483</v>
      </c>
      <c r="C46" s="8">
        <v>2</v>
      </c>
      <c r="D46" s="9">
        <v>34</v>
      </c>
      <c r="E46" s="9">
        <v>68</v>
      </c>
      <c r="F46" s="8" t="s">
        <v>365</v>
      </c>
      <c r="G46" s="13" t="s">
        <v>44</v>
      </c>
      <c r="H46" s="19" t="s">
        <v>27</v>
      </c>
      <c r="I46" s="13" t="s">
        <v>11</v>
      </c>
      <c r="J46" s="13" t="s">
        <v>343</v>
      </c>
      <c r="K46" s="13" t="s">
        <v>366</v>
      </c>
      <c r="L46" s="13"/>
      <c r="M46" s="13"/>
      <c r="N46" s="20" t="str">
        <f>HYPERLINK("http://slimages.macys.com/is/image/MCY/20072217 ")</f>
        <v xml:space="preserve">http://slimages.macys.com/is/image/MCY/20072217 </v>
      </c>
    </row>
    <row r="47" spans="1:14" x14ac:dyDescent="0.25">
      <c r="A47" s="19" t="s">
        <v>2818</v>
      </c>
      <c r="B47" s="13" t="s">
        <v>2819</v>
      </c>
      <c r="C47" s="8">
        <v>5</v>
      </c>
      <c r="D47" s="9">
        <v>14.3</v>
      </c>
      <c r="E47" s="9">
        <v>71.5</v>
      </c>
      <c r="F47" s="8" t="s">
        <v>1645</v>
      </c>
      <c r="G47" s="13" t="s">
        <v>78</v>
      </c>
      <c r="H47" s="19" t="s">
        <v>32</v>
      </c>
      <c r="I47" s="13" t="s">
        <v>11</v>
      </c>
      <c r="J47" s="13" t="s">
        <v>343</v>
      </c>
      <c r="K47" s="13" t="s">
        <v>379</v>
      </c>
      <c r="L47" s="13"/>
      <c r="M47" s="13"/>
      <c r="N47" s="20" t="str">
        <f>HYPERLINK("http://slimages.macys.com/is/image/MCY/20120359 ")</f>
        <v xml:space="preserve">http://slimages.macys.com/is/image/MCY/20120359 </v>
      </c>
    </row>
    <row r="48" spans="1:14" x14ac:dyDescent="0.25">
      <c r="A48" s="19" t="s">
        <v>3488</v>
      </c>
      <c r="B48" s="13" t="s">
        <v>3489</v>
      </c>
      <c r="C48" s="8">
        <v>25</v>
      </c>
      <c r="D48" s="9">
        <v>14.3</v>
      </c>
      <c r="E48" s="9">
        <v>357.5</v>
      </c>
      <c r="F48" s="8" t="s">
        <v>1645</v>
      </c>
      <c r="G48" s="13" t="s">
        <v>78</v>
      </c>
      <c r="H48" s="19" t="s">
        <v>40</v>
      </c>
      <c r="I48" s="13" t="s">
        <v>11</v>
      </c>
      <c r="J48" s="13" t="s">
        <v>343</v>
      </c>
      <c r="K48" s="13" t="s">
        <v>379</v>
      </c>
      <c r="L48" s="13"/>
      <c r="M48" s="13"/>
      <c r="N48" s="20" t="str">
        <f>HYPERLINK("http://slimages.macys.com/is/image/MCY/20120359 ")</f>
        <v xml:space="preserve">http://slimages.macys.com/is/image/MCY/20120359 </v>
      </c>
    </row>
    <row r="49" spans="1:14" x14ac:dyDescent="0.25">
      <c r="A49" s="19" t="s">
        <v>1512</v>
      </c>
      <c r="B49" s="13" t="s">
        <v>1513</v>
      </c>
      <c r="C49" s="8">
        <v>5</v>
      </c>
      <c r="D49" s="9">
        <v>25</v>
      </c>
      <c r="E49" s="9">
        <v>125</v>
      </c>
      <c r="F49" s="8" t="s">
        <v>773</v>
      </c>
      <c r="G49" s="13" t="s">
        <v>137</v>
      </c>
      <c r="H49" s="19" t="s">
        <v>32</v>
      </c>
      <c r="I49" s="13" t="s">
        <v>11</v>
      </c>
      <c r="J49" s="13" t="s">
        <v>343</v>
      </c>
      <c r="K49" s="13" t="s">
        <v>379</v>
      </c>
      <c r="L49" s="13"/>
      <c r="M49" s="13"/>
      <c r="N49" s="20" t="str">
        <f>HYPERLINK("http://slimages.macys.com/is/image/MCY/20185665 ")</f>
        <v xml:space="preserve">http://slimages.macys.com/is/image/MCY/20185665 </v>
      </c>
    </row>
    <row r="50" spans="1:14" x14ac:dyDescent="0.25">
      <c r="A50" s="19" t="s">
        <v>1516</v>
      </c>
      <c r="B50" s="13" t="s">
        <v>1517</v>
      </c>
      <c r="C50" s="8">
        <v>15</v>
      </c>
      <c r="D50" s="9">
        <v>25</v>
      </c>
      <c r="E50" s="9">
        <v>375</v>
      </c>
      <c r="F50" s="8" t="s">
        <v>773</v>
      </c>
      <c r="G50" s="13" t="s">
        <v>137</v>
      </c>
      <c r="H50" s="19" t="s">
        <v>55</v>
      </c>
      <c r="I50" s="13" t="s">
        <v>11</v>
      </c>
      <c r="J50" s="13" t="s">
        <v>343</v>
      </c>
      <c r="K50" s="13" t="s">
        <v>379</v>
      </c>
      <c r="L50" s="13"/>
      <c r="M50" s="13"/>
      <c r="N50" s="20" t="str">
        <f>HYPERLINK("http://slimages.macys.com/is/image/MCY/20185665 ")</f>
        <v xml:space="preserve">http://slimages.macys.com/is/image/MCY/20185665 </v>
      </c>
    </row>
    <row r="51" spans="1:14" x14ac:dyDescent="0.25">
      <c r="A51" s="19" t="s">
        <v>1514</v>
      </c>
      <c r="B51" s="13" t="s">
        <v>1515</v>
      </c>
      <c r="C51" s="8">
        <v>9</v>
      </c>
      <c r="D51" s="9">
        <v>25</v>
      </c>
      <c r="E51" s="9">
        <v>225</v>
      </c>
      <c r="F51" s="8" t="s">
        <v>773</v>
      </c>
      <c r="G51" s="13" t="s">
        <v>137</v>
      </c>
      <c r="H51" s="19" t="s">
        <v>27</v>
      </c>
      <c r="I51" s="13" t="s">
        <v>11</v>
      </c>
      <c r="J51" s="13" t="s">
        <v>343</v>
      </c>
      <c r="K51" s="13" t="s">
        <v>379</v>
      </c>
      <c r="L51" s="13"/>
      <c r="M51" s="13"/>
      <c r="N51" s="20" t="str">
        <f>HYPERLINK("http://slimages.macys.com/is/image/MCY/20185665 ")</f>
        <v xml:space="preserve">http://slimages.macys.com/is/image/MCY/20185665 </v>
      </c>
    </row>
    <row r="52" spans="1:14" x14ac:dyDescent="0.25">
      <c r="A52" s="19" t="s">
        <v>410</v>
      </c>
      <c r="B52" s="13" t="s">
        <v>411</v>
      </c>
      <c r="C52" s="8">
        <v>1</v>
      </c>
      <c r="D52" s="9">
        <v>12.5</v>
      </c>
      <c r="E52" s="9">
        <v>12.5</v>
      </c>
      <c r="F52" s="8" t="s">
        <v>409</v>
      </c>
      <c r="G52" s="13" t="s">
        <v>122</v>
      </c>
      <c r="H52" s="19" t="s">
        <v>32</v>
      </c>
      <c r="I52" s="13" t="s">
        <v>11</v>
      </c>
      <c r="J52" s="13" t="s">
        <v>343</v>
      </c>
      <c r="K52" s="13" t="s">
        <v>379</v>
      </c>
      <c r="L52" s="13"/>
      <c r="M52" s="13"/>
      <c r="N52" s="20" t="str">
        <f>HYPERLINK("http://slimages.macys.com/is/image/MCY/20180193 ")</f>
        <v xml:space="preserve">http://slimages.macys.com/is/image/MCY/20180193 </v>
      </c>
    </row>
    <row r="53" spans="1:14" x14ac:dyDescent="0.25">
      <c r="A53" s="19" t="s">
        <v>2779</v>
      </c>
      <c r="B53" s="13" t="s">
        <v>2780</v>
      </c>
      <c r="C53" s="8">
        <v>29</v>
      </c>
      <c r="D53" s="9">
        <v>14.3</v>
      </c>
      <c r="E53" s="9">
        <v>414.7</v>
      </c>
      <c r="F53" s="8" t="s">
        <v>1340</v>
      </c>
      <c r="G53" s="13" t="s">
        <v>378</v>
      </c>
      <c r="H53" s="19" t="s">
        <v>32</v>
      </c>
      <c r="I53" s="13" t="s">
        <v>11</v>
      </c>
      <c r="J53" s="13" t="s">
        <v>343</v>
      </c>
      <c r="K53" s="13" t="s">
        <v>379</v>
      </c>
      <c r="L53" s="13"/>
      <c r="M53" s="13"/>
      <c r="N53" s="20" t="str">
        <f>HYPERLINK("http://slimages.macys.com/is/image/MCY/20120079 ")</f>
        <v xml:space="preserve">http://slimages.macys.com/is/image/MCY/20120079 </v>
      </c>
    </row>
    <row r="54" spans="1:14" x14ac:dyDescent="0.25">
      <c r="A54" s="19" t="s">
        <v>1338</v>
      </c>
      <c r="B54" s="13" t="s">
        <v>1339</v>
      </c>
      <c r="C54" s="8">
        <v>4</v>
      </c>
      <c r="D54" s="9">
        <v>14.3</v>
      </c>
      <c r="E54" s="9">
        <v>57.2</v>
      </c>
      <c r="F54" s="8" t="s">
        <v>1340</v>
      </c>
      <c r="G54" s="13" t="s">
        <v>102</v>
      </c>
      <c r="H54" s="19" t="s">
        <v>40</v>
      </c>
      <c r="I54" s="13" t="s">
        <v>11</v>
      </c>
      <c r="J54" s="13" t="s">
        <v>343</v>
      </c>
      <c r="K54" s="13" t="s">
        <v>379</v>
      </c>
      <c r="L54" s="13"/>
      <c r="M54" s="13"/>
      <c r="N54" s="20" t="str">
        <f>HYPERLINK("http://slimages.macys.com/is/image/MCY/20120079 ")</f>
        <v xml:space="preserve">http://slimages.macys.com/is/image/MCY/20120079 </v>
      </c>
    </row>
    <row r="55" spans="1:14" x14ac:dyDescent="0.25">
      <c r="A55" s="19" t="s">
        <v>1337</v>
      </c>
      <c r="B55" s="13" t="s">
        <v>1055</v>
      </c>
      <c r="C55" s="8">
        <v>8</v>
      </c>
      <c r="D55" s="9">
        <v>14.3</v>
      </c>
      <c r="E55" s="9">
        <v>114.4</v>
      </c>
      <c r="F55" s="8" t="s">
        <v>1051</v>
      </c>
      <c r="G55" s="13" t="s">
        <v>31</v>
      </c>
      <c r="H55" s="19" t="s">
        <v>40</v>
      </c>
      <c r="I55" s="13" t="s">
        <v>11</v>
      </c>
      <c r="J55" s="13" t="s">
        <v>343</v>
      </c>
      <c r="K55" s="13" t="s">
        <v>379</v>
      </c>
      <c r="L55" s="13"/>
      <c r="M55" s="13"/>
      <c r="N55" s="20" t="str">
        <f t="shared" ref="N55:N64" si="0">HYPERLINK("http://slimages.macys.com/is/image/MCY/20120785 ")</f>
        <v xml:space="preserve">http://slimages.macys.com/is/image/MCY/20120785 </v>
      </c>
    </row>
    <row r="56" spans="1:14" x14ac:dyDescent="0.25">
      <c r="A56" s="19" t="s">
        <v>1562</v>
      </c>
      <c r="B56" s="13" t="s">
        <v>1563</v>
      </c>
      <c r="C56" s="8">
        <v>13</v>
      </c>
      <c r="D56" s="9">
        <v>14.3</v>
      </c>
      <c r="E56" s="9">
        <v>185.9</v>
      </c>
      <c r="F56" s="8" t="s">
        <v>1051</v>
      </c>
      <c r="G56" s="13" t="s">
        <v>31</v>
      </c>
      <c r="H56" s="19" t="s">
        <v>55</v>
      </c>
      <c r="I56" s="13" t="s">
        <v>11</v>
      </c>
      <c r="J56" s="13" t="s">
        <v>343</v>
      </c>
      <c r="K56" s="13" t="s">
        <v>379</v>
      </c>
      <c r="L56" s="13"/>
      <c r="M56" s="13"/>
      <c r="N56" s="20" t="str">
        <f t="shared" si="0"/>
        <v xml:space="preserve">http://slimages.macys.com/is/image/MCY/20120785 </v>
      </c>
    </row>
    <row r="57" spans="1:14" x14ac:dyDescent="0.25">
      <c r="A57" s="19" t="s">
        <v>2651</v>
      </c>
      <c r="B57" s="13" t="s">
        <v>2652</v>
      </c>
      <c r="C57" s="8">
        <v>2</v>
      </c>
      <c r="D57" s="9">
        <v>14.3</v>
      </c>
      <c r="E57" s="9">
        <v>28.6</v>
      </c>
      <c r="F57" s="8" t="s">
        <v>1051</v>
      </c>
      <c r="G57" s="13" t="s">
        <v>31</v>
      </c>
      <c r="H57" s="19" t="s">
        <v>27</v>
      </c>
      <c r="I57" s="13" t="s">
        <v>11</v>
      </c>
      <c r="J57" s="13" t="s">
        <v>343</v>
      </c>
      <c r="K57" s="13" t="s">
        <v>379</v>
      </c>
      <c r="L57" s="13"/>
      <c r="M57" s="13"/>
      <c r="N57" s="20" t="str">
        <f t="shared" si="0"/>
        <v xml:space="preserve">http://slimages.macys.com/is/image/MCY/20120785 </v>
      </c>
    </row>
    <row r="58" spans="1:14" x14ac:dyDescent="0.25">
      <c r="A58" s="19" t="s">
        <v>1649</v>
      </c>
      <c r="B58" s="13" t="s">
        <v>1650</v>
      </c>
      <c r="C58" s="8">
        <v>12</v>
      </c>
      <c r="D58" s="9">
        <v>14.3</v>
      </c>
      <c r="E58" s="9">
        <v>171.6</v>
      </c>
      <c r="F58" s="8" t="s">
        <v>1051</v>
      </c>
      <c r="G58" s="13" t="s">
        <v>124</v>
      </c>
      <c r="H58" s="19" t="s">
        <v>32</v>
      </c>
      <c r="I58" s="13" t="s">
        <v>11</v>
      </c>
      <c r="J58" s="13" t="s">
        <v>343</v>
      </c>
      <c r="K58" s="13" t="s">
        <v>379</v>
      </c>
      <c r="L58" s="13"/>
      <c r="M58" s="13"/>
      <c r="N58" s="20" t="str">
        <f t="shared" si="0"/>
        <v xml:space="preserve">http://slimages.macys.com/is/image/MCY/20120785 </v>
      </c>
    </row>
    <row r="59" spans="1:14" x14ac:dyDescent="0.25">
      <c r="A59" s="19" t="s">
        <v>1335</v>
      </c>
      <c r="B59" s="13" t="s">
        <v>1336</v>
      </c>
      <c r="C59" s="8">
        <v>12</v>
      </c>
      <c r="D59" s="9">
        <v>14.3</v>
      </c>
      <c r="E59" s="9">
        <v>171.6</v>
      </c>
      <c r="F59" s="8" t="s">
        <v>1051</v>
      </c>
      <c r="G59" s="13" t="s">
        <v>124</v>
      </c>
      <c r="H59" s="19" t="s">
        <v>40</v>
      </c>
      <c r="I59" s="13" t="s">
        <v>11</v>
      </c>
      <c r="J59" s="13" t="s">
        <v>343</v>
      </c>
      <c r="K59" s="13" t="s">
        <v>379</v>
      </c>
      <c r="L59" s="13"/>
      <c r="M59" s="13"/>
      <c r="N59" s="20" t="str">
        <f t="shared" si="0"/>
        <v xml:space="preserve">http://slimages.macys.com/is/image/MCY/20120785 </v>
      </c>
    </row>
    <row r="60" spans="1:14" x14ac:dyDescent="0.25">
      <c r="A60" s="19" t="s">
        <v>1635</v>
      </c>
      <c r="B60" s="13" t="s">
        <v>1636</v>
      </c>
      <c r="C60" s="8">
        <v>19</v>
      </c>
      <c r="D60" s="9">
        <v>14.3</v>
      </c>
      <c r="E60" s="9">
        <v>271.7</v>
      </c>
      <c r="F60" s="8" t="s">
        <v>1051</v>
      </c>
      <c r="G60" s="13" t="s">
        <v>82</v>
      </c>
      <c r="H60" s="19" t="s">
        <v>32</v>
      </c>
      <c r="I60" s="13" t="s">
        <v>11</v>
      </c>
      <c r="J60" s="13" t="s">
        <v>343</v>
      </c>
      <c r="K60" s="13" t="s">
        <v>379</v>
      </c>
      <c r="L60" s="13"/>
      <c r="M60" s="13"/>
      <c r="N60" s="20" t="str">
        <f t="shared" si="0"/>
        <v xml:space="preserve">http://slimages.macys.com/is/image/MCY/20120785 </v>
      </c>
    </row>
    <row r="61" spans="1:14" x14ac:dyDescent="0.25">
      <c r="A61" s="19" t="s">
        <v>1347</v>
      </c>
      <c r="B61" s="13" t="s">
        <v>1348</v>
      </c>
      <c r="C61" s="8">
        <v>22</v>
      </c>
      <c r="D61" s="9">
        <v>14.3</v>
      </c>
      <c r="E61" s="9">
        <v>314.60000000000002</v>
      </c>
      <c r="F61" s="8" t="s">
        <v>1051</v>
      </c>
      <c r="G61" s="13" t="s">
        <v>82</v>
      </c>
      <c r="H61" s="19" t="s">
        <v>40</v>
      </c>
      <c r="I61" s="13" t="s">
        <v>11</v>
      </c>
      <c r="J61" s="13" t="s">
        <v>343</v>
      </c>
      <c r="K61" s="13" t="s">
        <v>379</v>
      </c>
      <c r="L61" s="13"/>
      <c r="M61" s="13"/>
      <c r="N61" s="20" t="str">
        <f t="shared" si="0"/>
        <v xml:space="preserve">http://slimages.macys.com/is/image/MCY/20120785 </v>
      </c>
    </row>
    <row r="62" spans="1:14" x14ac:dyDescent="0.25">
      <c r="A62" s="19" t="s">
        <v>1639</v>
      </c>
      <c r="B62" s="13" t="s">
        <v>1640</v>
      </c>
      <c r="C62" s="8">
        <v>23</v>
      </c>
      <c r="D62" s="9">
        <v>14.3</v>
      </c>
      <c r="E62" s="9">
        <v>328.9</v>
      </c>
      <c r="F62" s="8" t="s">
        <v>1051</v>
      </c>
      <c r="G62" s="13" t="s">
        <v>82</v>
      </c>
      <c r="H62" s="19" t="s">
        <v>55</v>
      </c>
      <c r="I62" s="13" t="s">
        <v>11</v>
      </c>
      <c r="J62" s="13" t="s">
        <v>343</v>
      </c>
      <c r="K62" s="13" t="s">
        <v>379</v>
      </c>
      <c r="L62" s="13"/>
      <c r="M62" s="13"/>
      <c r="N62" s="20" t="str">
        <f t="shared" si="0"/>
        <v xml:space="preserve">http://slimages.macys.com/is/image/MCY/20120785 </v>
      </c>
    </row>
    <row r="63" spans="1:14" x14ac:dyDescent="0.25">
      <c r="A63" s="19" t="s">
        <v>1560</v>
      </c>
      <c r="B63" s="13" t="s">
        <v>1561</v>
      </c>
      <c r="C63" s="8">
        <v>11</v>
      </c>
      <c r="D63" s="9">
        <v>14.3</v>
      </c>
      <c r="E63" s="9">
        <v>157.30000000000001</v>
      </c>
      <c r="F63" s="8" t="s">
        <v>1051</v>
      </c>
      <c r="G63" s="13" t="s">
        <v>82</v>
      </c>
      <c r="H63" s="19" t="s">
        <v>27</v>
      </c>
      <c r="I63" s="13" t="s">
        <v>11</v>
      </c>
      <c r="J63" s="13" t="s">
        <v>343</v>
      </c>
      <c r="K63" s="13" t="s">
        <v>379</v>
      </c>
      <c r="L63" s="13"/>
      <c r="M63" s="13"/>
      <c r="N63" s="20" t="str">
        <f t="shared" si="0"/>
        <v xml:space="preserve">http://slimages.macys.com/is/image/MCY/20120785 </v>
      </c>
    </row>
    <row r="64" spans="1:14" x14ac:dyDescent="0.25">
      <c r="A64" s="19" t="s">
        <v>1052</v>
      </c>
      <c r="B64" s="13" t="s">
        <v>1053</v>
      </c>
      <c r="C64" s="8">
        <v>4</v>
      </c>
      <c r="D64" s="9">
        <v>14.3</v>
      </c>
      <c r="E64" s="9">
        <v>57.2</v>
      </c>
      <c r="F64" s="8" t="s">
        <v>1051</v>
      </c>
      <c r="G64" s="13" t="s">
        <v>62</v>
      </c>
      <c r="H64" s="19" t="s">
        <v>32</v>
      </c>
      <c r="I64" s="13" t="s">
        <v>11</v>
      </c>
      <c r="J64" s="13" t="s">
        <v>343</v>
      </c>
      <c r="K64" s="13" t="s">
        <v>379</v>
      </c>
      <c r="L64" s="13"/>
      <c r="M64" s="13"/>
      <c r="N64" s="20" t="str">
        <f t="shared" si="0"/>
        <v xml:space="preserve">http://slimages.macys.com/is/image/MCY/20120785 </v>
      </c>
    </row>
    <row r="65" spans="1:14" x14ac:dyDescent="0.25">
      <c r="A65" s="19" t="s">
        <v>3449</v>
      </c>
      <c r="B65" s="13" t="s">
        <v>3450</v>
      </c>
      <c r="C65" s="8">
        <v>2</v>
      </c>
      <c r="D65" s="9">
        <v>14.99</v>
      </c>
      <c r="E65" s="9">
        <v>29.98</v>
      </c>
      <c r="F65" s="8" t="s">
        <v>1462</v>
      </c>
      <c r="G65" s="13" t="s">
        <v>270</v>
      </c>
      <c r="H65" s="19" t="s">
        <v>55</v>
      </c>
      <c r="I65" s="13" t="s">
        <v>11</v>
      </c>
      <c r="J65" s="13" t="s">
        <v>266</v>
      </c>
      <c r="K65" s="13" t="s">
        <v>267</v>
      </c>
      <c r="L65" s="13"/>
      <c r="M65" s="13"/>
      <c r="N65" s="20" t="str">
        <f>HYPERLINK("http://slimages.macys.com/is/image/MCY/20042359 ")</f>
        <v xml:space="preserve">http://slimages.macys.com/is/image/MCY/20042359 </v>
      </c>
    </row>
    <row r="66" spans="1:14" x14ac:dyDescent="0.25">
      <c r="A66" s="19" t="s">
        <v>3451</v>
      </c>
      <c r="B66" s="13" t="s">
        <v>3452</v>
      </c>
      <c r="C66" s="8">
        <v>12</v>
      </c>
      <c r="D66" s="9">
        <v>14.99</v>
      </c>
      <c r="E66" s="9">
        <v>179.88</v>
      </c>
      <c r="F66" s="8" t="s">
        <v>1462</v>
      </c>
      <c r="G66" s="13" t="s">
        <v>270</v>
      </c>
      <c r="H66" s="19" t="s">
        <v>47</v>
      </c>
      <c r="I66" s="13" t="s">
        <v>11</v>
      </c>
      <c r="J66" s="13" t="s">
        <v>266</v>
      </c>
      <c r="K66" s="13" t="s">
        <v>267</v>
      </c>
      <c r="L66" s="13"/>
      <c r="M66" s="13"/>
      <c r="N66" s="20" t="str">
        <f>HYPERLINK("http://slimages.macys.com/is/image/MCY/20042359 ")</f>
        <v xml:space="preserve">http://slimages.macys.com/is/image/MCY/20042359 </v>
      </c>
    </row>
    <row r="67" spans="1:14" x14ac:dyDescent="0.25">
      <c r="A67" s="19" t="s">
        <v>1220</v>
      </c>
      <c r="B67" s="13" t="s">
        <v>1221</v>
      </c>
      <c r="C67" s="8">
        <v>12</v>
      </c>
      <c r="D67" s="9">
        <v>37.99</v>
      </c>
      <c r="E67" s="9">
        <v>455.88</v>
      </c>
      <c r="F67" s="8" t="s">
        <v>1222</v>
      </c>
      <c r="G67" s="13" t="s">
        <v>189</v>
      </c>
      <c r="H67" s="19" t="s">
        <v>32</v>
      </c>
      <c r="I67" s="13" t="s">
        <v>11</v>
      </c>
      <c r="J67" s="13" t="s">
        <v>266</v>
      </c>
      <c r="K67" s="13" t="s">
        <v>267</v>
      </c>
      <c r="L67" s="13"/>
      <c r="M67" s="13"/>
      <c r="N67" s="20" t="str">
        <f>HYPERLINK("http://slimages.macys.com/is/image/MCY/21080160 ")</f>
        <v xml:space="preserve">http://slimages.macys.com/is/image/MCY/21080160 </v>
      </c>
    </row>
    <row r="68" spans="1:14" x14ac:dyDescent="0.25">
      <c r="A68" s="19" t="s">
        <v>1225</v>
      </c>
      <c r="B68" s="13" t="s">
        <v>1226</v>
      </c>
      <c r="C68" s="8">
        <v>6</v>
      </c>
      <c r="D68" s="9">
        <v>37.99</v>
      </c>
      <c r="E68" s="9">
        <v>227.94</v>
      </c>
      <c r="F68" s="8" t="s">
        <v>1222</v>
      </c>
      <c r="G68" s="13" t="s">
        <v>189</v>
      </c>
      <c r="H68" s="19" t="s">
        <v>40</v>
      </c>
      <c r="I68" s="13" t="s">
        <v>11</v>
      </c>
      <c r="J68" s="13" t="s">
        <v>266</v>
      </c>
      <c r="K68" s="13" t="s">
        <v>267</v>
      </c>
      <c r="L68" s="13"/>
      <c r="M68" s="13"/>
      <c r="N68" s="20" t="str">
        <f>HYPERLINK("http://slimages.macys.com/is/image/MCY/21080160 ")</f>
        <v xml:space="preserve">http://slimages.macys.com/is/image/MCY/21080160 </v>
      </c>
    </row>
    <row r="69" spans="1:14" x14ac:dyDescent="0.25">
      <c r="A69" s="19" t="s">
        <v>1223</v>
      </c>
      <c r="B69" s="13" t="s">
        <v>1224</v>
      </c>
      <c r="C69" s="8">
        <v>13</v>
      </c>
      <c r="D69" s="9">
        <v>37.99</v>
      </c>
      <c r="E69" s="9">
        <v>493.87</v>
      </c>
      <c r="F69" s="8" t="s">
        <v>1222</v>
      </c>
      <c r="G69" s="13" t="s">
        <v>189</v>
      </c>
      <c r="H69" s="19" t="s">
        <v>55</v>
      </c>
      <c r="I69" s="13" t="s">
        <v>11</v>
      </c>
      <c r="J69" s="13" t="s">
        <v>266</v>
      </c>
      <c r="K69" s="13" t="s">
        <v>267</v>
      </c>
      <c r="L69" s="13"/>
      <c r="M69" s="13"/>
      <c r="N69" s="20" t="str">
        <f>HYPERLINK("http://slimages.macys.com/is/image/MCY/21080160 ")</f>
        <v xml:space="preserve">http://slimages.macys.com/is/image/MCY/21080160 </v>
      </c>
    </row>
    <row r="70" spans="1:14" x14ac:dyDescent="0.25">
      <c r="A70" s="19" t="s">
        <v>1449</v>
      </c>
      <c r="B70" s="13" t="s">
        <v>1450</v>
      </c>
      <c r="C70" s="8">
        <v>10</v>
      </c>
      <c r="D70" s="9">
        <v>32.99</v>
      </c>
      <c r="E70" s="9">
        <v>329.9</v>
      </c>
      <c r="F70" s="8" t="s">
        <v>1451</v>
      </c>
      <c r="G70" s="13" t="s">
        <v>31</v>
      </c>
      <c r="H70" s="19" t="s">
        <v>55</v>
      </c>
      <c r="I70" s="13" t="s">
        <v>11</v>
      </c>
      <c r="J70" s="13" t="s">
        <v>266</v>
      </c>
      <c r="K70" s="13" t="s">
        <v>267</v>
      </c>
      <c r="L70" s="13"/>
      <c r="M70" s="13"/>
      <c r="N70" s="20" t="str">
        <f>HYPERLINK("http://slimages.macys.com/is/image/MCY/19287197 ")</f>
        <v xml:space="preserve">http://slimages.macys.com/is/image/MCY/19287197 </v>
      </c>
    </row>
    <row r="71" spans="1:14" x14ac:dyDescent="0.25">
      <c r="A71" s="19" t="s">
        <v>1020</v>
      </c>
      <c r="B71" s="13" t="s">
        <v>1021</v>
      </c>
      <c r="C71" s="8">
        <v>1</v>
      </c>
      <c r="D71" s="9">
        <v>24.99</v>
      </c>
      <c r="E71" s="9">
        <v>24.99</v>
      </c>
      <c r="F71" s="8" t="s">
        <v>322</v>
      </c>
      <c r="G71" s="13" t="s">
        <v>104</v>
      </c>
      <c r="H71" s="19" t="s">
        <v>32</v>
      </c>
      <c r="I71" s="13" t="s">
        <v>11</v>
      </c>
      <c r="J71" s="13" t="s">
        <v>266</v>
      </c>
      <c r="K71" s="13" t="s">
        <v>267</v>
      </c>
      <c r="L71" s="13"/>
      <c r="M71" s="13"/>
      <c r="N71" s="20" t="str">
        <f>HYPERLINK("http://slimages.macys.com/is/image/MCY/19610914 ")</f>
        <v xml:space="preserve">http://slimages.macys.com/is/image/MCY/19610914 </v>
      </c>
    </row>
    <row r="72" spans="1:14" x14ac:dyDescent="0.25">
      <c r="A72" s="19" t="s">
        <v>3446</v>
      </c>
      <c r="B72" s="13" t="s">
        <v>3447</v>
      </c>
      <c r="C72" s="8">
        <v>1</v>
      </c>
      <c r="D72" s="9">
        <v>14.99</v>
      </c>
      <c r="E72" s="9">
        <v>14.99</v>
      </c>
      <c r="F72" s="8" t="s">
        <v>3448</v>
      </c>
      <c r="G72" s="13" t="s">
        <v>83</v>
      </c>
      <c r="H72" s="19" t="s">
        <v>47</v>
      </c>
      <c r="I72" s="13" t="s">
        <v>11</v>
      </c>
      <c r="J72" s="13" t="s">
        <v>266</v>
      </c>
      <c r="K72" s="13" t="s">
        <v>267</v>
      </c>
      <c r="L72" s="13"/>
      <c r="M72" s="13"/>
      <c r="N72" s="20" t="str">
        <f>HYPERLINK("http://slimages.macys.com/is/image/MCY/19057329 ")</f>
        <v xml:space="preserve">http://slimages.macys.com/is/image/MCY/19057329 </v>
      </c>
    </row>
    <row r="73" spans="1:14" x14ac:dyDescent="0.25">
      <c r="A73" s="19" t="s">
        <v>3453</v>
      </c>
      <c r="B73" s="13" t="s">
        <v>3454</v>
      </c>
      <c r="C73" s="8">
        <v>1</v>
      </c>
      <c r="D73" s="9">
        <v>17.989999999999998</v>
      </c>
      <c r="E73" s="9">
        <v>17.989999999999998</v>
      </c>
      <c r="F73" s="8" t="s">
        <v>339</v>
      </c>
      <c r="G73" s="13" t="s">
        <v>140</v>
      </c>
      <c r="H73" s="19" t="s">
        <v>27</v>
      </c>
      <c r="I73" s="13" t="s">
        <v>11</v>
      </c>
      <c r="J73" s="13" t="s">
        <v>266</v>
      </c>
      <c r="K73" s="13" t="s">
        <v>267</v>
      </c>
      <c r="L73" s="13"/>
      <c r="M73" s="13"/>
      <c r="N73" s="20" t="str">
        <f>HYPERLINK("http://slimages.macys.com/is/image/MCY/19909260 ")</f>
        <v xml:space="preserve">http://slimages.macys.com/is/image/MCY/19909260 </v>
      </c>
    </row>
    <row r="74" spans="1:14" x14ac:dyDescent="0.25">
      <c r="A74" s="19" t="s">
        <v>3444</v>
      </c>
      <c r="B74" s="13" t="s">
        <v>3445</v>
      </c>
      <c r="C74" s="8">
        <v>6</v>
      </c>
      <c r="D74" s="9">
        <v>23.99</v>
      </c>
      <c r="E74" s="9">
        <v>143.94</v>
      </c>
      <c r="F74" s="8" t="s">
        <v>1608</v>
      </c>
      <c r="G74" s="13" t="s">
        <v>86</v>
      </c>
      <c r="H74" s="19" t="s">
        <v>40</v>
      </c>
      <c r="I74" s="13" t="s">
        <v>11</v>
      </c>
      <c r="J74" s="13" t="s">
        <v>266</v>
      </c>
      <c r="K74" s="13" t="s">
        <v>267</v>
      </c>
      <c r="L74" s="13"/>
      <c r="M74" s="13"/>
      <c r="N74" s="20" t="str">
        <f>HYPERLINK("http://slimages.macys.com/is/image/MCY/18531891 ")</f>
        <v xml:space="preserve">http://slimages.macys.com/is/image/MCY/18531891 </v>
      </c>
    </row>
    <row r="75" spans="1:14" x14ac:dyDescent="0.25">
      <c r="A75" s="19" t="s">
        <v>1606</v>
      </c>
      <c r="B75" s="13" t="s">
        <v>1607</v>
      </c>
      <c r="C75" s="8">
        <v>12</v>
      </c>
      <c r="D75" s="9">
        <v>23.99</v>
      </c>
      <c r="E75" s="9">
        <v>287.88</v>
      </c>
      <c r="F75" s="8" t="s">
        <v>1608</v>
      </c>
      <c r="G75" s="13" t="s">
        <v>86</v>
      </c>
      <c r="H75" s="19" t="s">
        <v>55</v>
      </c>
      <c r="I75" s="13" t="s">
        <v>11</v>
      </c>
      <c r="J75" s="13" t="s">
        <v>266</v>
      </c>
      <c r="K75" s="13" t="s">
        <v>267</v>
      </c>
      <c r="L75" s="13"/>
      <c r="M75" s="13"/>
      <c r="N75" s="20" t="str">
        <f>HYPERLINK("http://slimages.macys.com/is/image/MCY/19287181 ")</f>
        <v xml:space="preserve">http://slimages.macys.com/is/image/MCY/19287181 </v>
      </c>
    </row>
    <row r="76" spans="1:14" x14ac:dyDescent="0.25">
      <c r="A76" s="19" t="s">
        <v>2770</v>
      </c>
      <c r="B76" s="13" t="s">
        <v>2771</v>
      </c>
      <c r="C76" s="8">
        <v>22</v>
      </c>
      <c r="D76" s="9">
        <v>23.99</v>
      </c>
      <c r="E76" s="9">
        <v>527.78</v>
      </c>
      <c r="F76" s="8" t="s">
        <v>1608</v>
      </c>
      <c r="G76" s="13" t="s">
        <v>86</v>
      </c>
      <c r="H76" s="19" t="s">
        <v>47</v>
      </c>
      <c r="I76" s="13" t="s">
        <v>11</v>
      </c>
      <c r="J76" s="13" t="s">
        <v>266</v>
      </c>
      <c r="K76" s="13" t="s">
        <v>267</v>
      </c>
      <c r="L76" s="13"/>
      <c r="M76" s="13"/>
      <c r="N76" s="20" t="str">
        <f>HYPERLINK("http://slimages.macys.com/is/image/MCY/19287181 ")</f>
        <v xml:space="preserve">http://slimages.macys.com/is/image/MCY/19287181 </v>
      </c>
    </row>
    <row r="77" spans="1:14" x14ac:dyDescent="0.25">
      <c r="A77" s="19" t="s">
        <v>1454</v>
      </c>
      <c r="B77" s="13" t="s">
        <v>1455</v>
      </c>
      <c r="C77" s="8">
        <v>8</v>
      </c>
      <c r="D77" s="9">
        <v>27.99</v>
      </c>
      <c r="E77" s="9">
        <v>223.92</v>
      </c>
      <c r="F77" s="8" t="s">
        <v>302</v>
      </c>
      <c r="G77" s="13" t="s">
        <v>78</v>
      </c>
      <c r="H77" s="19" t="s">
        <v>55</v>
      </c>
      <c r="I77" s="13" t="s">
        <v>11</v>
      </c>
      <c r="J77" s="13" t="s">
        <v>266</v>
      </c>
      <c r="K77" s="13" t="s">
        <v>267</v>
      </c>
      <c r="L77" s="13"/>
      <c r="M77" s="13"/>
      <c r="N77" s="20" t="str">
        <f>HYPERLINK("http://slimages.macys.com/is/image/MCY/18532801 ")</f>
        <v xml:space="preserve">http://slimages.macys.com/is/image/MCY/18532801 </v>
      </c>
    </row>
    <row r="78" spans="1:14" x14ac:dyDescent="0.25">
      <c r="A78" s="19" t="s">
        <v>1651</v>
      </c>
      <c r="B78" s="13" t="s">
        <v>1652</v>
      </c>
      <c r="C78" s="8">
        <v>18</v>
      </c>
      <c r="D78" s="9">
        <v>10</v>
      </c>
      <c r="E78" s="9">
        <v>180</v>
      </c>
      <c r="F78" s="8">
        <v>100132111</v>
      </c>
      <c r="G78" s="13" t="s">
        <v>458</v>
      </c>
      <c r="H78" s="19" t="s">
        <v>55</v>
      </c>
      <c r="I78" s="13" t="s">
        <v>11</v>
      </c>
      <c r="J78" s="13" t="s">
        <v>457</v>
      </c>
      <c r="K78" s="13" t="s">
        <v>459</v>
      </c>
      <c r="L78" s="13"/>
      <c r="M78" s="13"/>
      <c r="N78" s="20" t="str">
        <f>HYPERLINK("http://slimages.macys.com/is/image/MCY/19278703 ")</f>
        <v xml:space="preserve">http://slimages.macys.com/is/image/MCY/19278703 </v>
      </c>
    </row>
    <row r="79" spans="1:14" x14ac:dyDescent="0.25">
      <c r="A79" s="19" t="s">
        <v>1077</v>
      </c>
      <c r="B79" s="13" t="s">
        <v>1078</v>
      </c>
      <c r="C79" s="8">
        <v>23</v>
      </c>
      <c r="D79" s="9">
        <v>10</v>
      </c>
      <c r="E79" s="9">
        <v>230</v>
      </c>
      <c r="F79" s="8">
        <v>100132111</v>
      </c>
      <c r="G79" s="13" t="s">
        <v>458</v>
      </c>
      <c r="H79" s="19" t="s">
        <v>27</v>
      </c>
      <c r="I79" s="13" t="s">
        <v>11</v>
      </c>
      <c r="J79" s="13" t="s">
        <v>457</v>
      </c>
      <c r="K79" s="13" t="s">
        <v>459</v>
      </c>
      <c r="L79" s="13"/>
      <c r="M79" s="13"/>
      <c r="N79" s="20" t="str">
        <f>HYPERLINK("http://slimages.macys.com/is/image/MCY/19278703 ")</f>
        <v xml:space="preserve">http://slimages.macys.com/is/image/MCY/19278703 </v>
      </c>
    </row>
    <row r="80" spans="1:14" x14ac:dyDescent="0.25">
      <c r="A80" s="19" t="s">
        <v>3540</v>
      </c>
      <c r="B80" s="13" t="s">
        <v>3541</v>
      </c>
      <c r="C80" s="8">
        <v>1</v>
      </c>
      <c r="D80" s="9">
        <v>78</v>
      </c>
      <c r="E80" s="9">
        <v>78</v>
      </c>
      <c r="F80" s="8" t="s">
        <v>3542</v>
      </c>
      <c r="G80" s="13" t="s">
        <v>114</v>
      </c>
      <c r="H80" s="19" t="s">
        <v>149</v>
      </c>
      <c r="I80" s="13" t="s">
        <v>11</v>
      </c>
      <c r="J80" s="13" t="s">
        <v>539</v>
      </c>
      <c r="K80" s="13" t="s">
        <v>543</v>
      </c>
      <c r="L80" s="13"/>
      <c r="M80" s="13"/>
      <c r="N80" s="20"/>
    </row>
    <row r="81" spans="1:14" x14ac:dyDescent="0.25">
      <c r="A81" s="19" t="s">
        <v>3543</v>
      </c>
      <c r="B81" s="13" t="s">
        <v>3544</v>
      </c>
      <c r="C81" s="8">
        <v>1</v>
      </c>
      <c r="D81" s="9">
        <v>78</v>
      </c>
      <c r="E81" s="9">
        <v>78</v>
      </c>
      <c r="F81" s="8" t="s">
        <v>3545</v>
      </c>
      <c r="G81" s="13" t="s">
        <v>238</v>
      </c>
      <c r="H81" s="19" t="s">
        <v>158</v>
      </c>
      <c r="I81" s="13" t="s">
        <v>11</v>
      </c>
      <c r="J81" s="13" t="s">
        <v>539</v>
      </c>
      <c r="K81" s="13" t="s">
        <v>543</v>
      </c>
      <c r="L81" s="13"/>
      <c r="M81" s="13"/>
      <c r="N81" s="20"/>
    </row>
    <row r="82" spans="1:14" x14ac:dyDescent="0.25">
      <c r="A82" s="19" t="s">
        <v>3434</v>
      </c>
      <c r="B82" s="13" t="s">
        <v>3435</v>
      </c>
      <c r="C82" s="8">
        <v>1</v>
      </c>
      <c r="D82" s="9">
        <v>39</v>
      </c>
      <c r="E82" s="9">
        <v>39</v>
      </c>
      <c r="F82" s="8" t="s">
        <v>3436</v>
      </c>
      <c r="G82" s="13" t="s">
        <v>31</v>
      </c>
      <c r="H82" s="19" t="s">
        <v>255</v>
      </c>
      <c r="I82" s="13" t="s">
        <v>11</v>
      </c>
      <c r="J82" s="13" t="s">
        <v>240</v>
      </c>
      <c r="K82" s="13" t="s">
        <v>245</v>
      </c>
      <c r="L82" s="13"/>
      <c r="M82" s="13"/>
      <c r="N82" s="20" t="str">
        <f>HYPERLINK("http://slimages.macys.com/is/image/MCY/19632302 ")</f>
        <v xml:space="preserve">http://slimages.macys.com/is/image/MCY/19632302 </v>
      </c>
    </row>
    <row r="83" spans="1:14" x14ac:dyDescent="0.25">
      <c r="A83" s="19" t="s">
        <v>3514</v>
      </c>
      <c r="B83" s="13" t="s">
        <v>3515</v>
      </c>
      <c r="C83" s="8">
        <v>1</v>
      </c>
      <c r="D83" s="9">
        <v>56.25</v>
      </c>
      <c r="E83" s="9">
        <v>56.25</v>
      </c>
      <c r="F83" s="8">
        <v>406871</v>
      </c>
      <c r="G83" s="13" t="s">
        <v>122</v>
      </c>
      <c r="H83" s="19" t="s">
        <v>40</v>
      </c>
      <c r="I83" s="13" t="s">
        <v>11</v>
      </c>
      <c r="J83" s="13" t="s">
        <v>539</v>
      </c>
      <c r="K83" s="13" t="s">
        <v>541</v>
      </c>
      <c r="L83" s="13"/>
      <c r="M83" s="13"/>
      <c r="N83" s="20" t="str">
        <f>HYPERLINK("http://slimages.macys.com/is/image/MCY/19904384 ")</f>
        <v xml:space="preserve">http://slimages.macys.com/is/image/MCY/19904384 </v>
      </c>
    </row>
    <row r="84" spans="1:14" x14ac:dyDescent="0.25">
      <c r="A84" s="19" t="s">
        <v>1764</v>
      </c>
      <c r="B84" s="13" t="s">
        <v>1765</v>
      </c>
      <c r="C84" s="8">
        <v>3</v>
      </c>
      <c r="D84" s="9">
        <v>28.8</v>
      </c>
      <c r="E84" s="9">
        <v>86.4</v>
      </c>
      <c r="F84" s="8" t="s">
        <v>1297</v>
      </c>
      <c r="G84" s="13" t="s">
        <v>378</v>
      </c>
      <c r="H84" s="19" t="s">
        <v>32</v>
      </c>
      <c r="I84" s="13" t="s">
        <v>11</v>
      </c>
      <c r="J84" s="13" t="s">
        <v>343</v>
      </c>
      <c r="K84" s="13" t="s">
        <v>393</v>
      </c>
      <c r="L84" s="13"/>
      <c r="M84" s="13"/>
      <c r="N84" s="20" t="str">
        <f t="shared" ref="N84:N89" si="1">HYPERLINK("http://slimages.macys.com/is/image/MCY/20576871 ")</f>
        <v xml:space="preserve">http://slimages.macys.com/is/image/MCY/20576871 </v>
      </c>
    </row>
    <row r="85" spans="1:14" x14ac:dyDescent="0.25">
      <c r="A85" s="19" t="s">
        <v>1630</v>
      </c>
      <c r="B85" s="13" t="s">
        <v>1631</v>
      </c>
      <c r="C85" s="8">
        <v>14</v>
      </c>
      <c r="D85" s="9">
        <v>28.8</v>
      </c>
      <c r="E85" s="9">
        <v>403.2</v>
      </c>
      <c r="F85" s="8" t="s">
        <v>1297</v>
      </c>
      <c r="G85" s="13" t="s">
        <v>140</v>
      </c>
      <c r="H85" s="19" t="s">
        <v>32</v>
      </c>
      <c r="I85" s="13" t="s">
        <v>11</v>
      </c>
      <c r="J85" s="13" t="s">
        <v>343</v>
      </c>
      <c r="K85" s="13" t="s">
        <v>393</v>
      </c>
      <c r="L85" s="13"/>
      <c r="M85" s="13"/>
      <c r="N85" s="20" t="str">
        <f t="shared" si="1"/>
        <v xml:space="preserve">http://slimages.macys.com/is/image/MCY/20576871 </v>
      </c>
    </row>
    <row r="86" spans="1:14" x14ac:dyDescent="0.25">
      <c r="A86" s="19" t="s">
        <v>3481</v>
      </c>
      <c r="B86" s="13" t="s">
        <v>3482</v>
      </c>
      <c r="C86" s="8">
        <v>8</v>
      </c>
      <c r="D86" s="9">
        <v>28.8</v>
      </c>
      <c r="E86" s="9">
        <v>230.4</v>
      </c>
      <c r="F86" s="8" t="s">
        <v>1297</v>
      </c>
      <c r="G86" s="13" t="s">
        <v>140</v>
      </c>
      <c r="H86" s="19" t="s">
        <v>27</v>
      </c>
      <c r="I86" s="13" t="s">
        <v>11</v>
      </c>
      <c r="J86" s="13" t="s">
        <v>343</v>
      </c>
      <c r="K86" s="13" t="s">
        <v>393</v>
      </c>
      <c r="L86" s="13"/>
      <c r="M86" s="13"/>
      <c r="N86" s="20" t="str">
        <f t="shared" si="1"/>
        <v xml:space="preserve">http://slimages.macys.com/is/image/MCY/20576871 </v>
      </c>
    </row>
    <row r="87" spans="1:14" x14ac:dyDescent="0.25">
      <c r="A87" s="19" t="s">
        <v>3477</v>
      </c>
      <c r="B87" s="13" t="s">
        <v>3478</v>
      </c>
      <c r="C87" s="8">
        <v>1</v>
      </c>
      <c r="D87" s="9">
        <v>28.8</v>
      </c>
      <c r="E87" s="9">
        <v>28.8</v>
      </c>
      <c r="F87" s="8" t="s">
        <v>1297</v>
      </c>
      <c r="G87" s="13" t="s">
        <v>1769</v>
      </c>
      <c r="H87" s="19" t="s">
        <v>32</v>
      </c>
      <c r="I87" s="13" t="s">
        <v>11</v>
      </c>
      <c r="J87" s="13" t="s">
        <v>343</v>
      </c>
      <c r="K87" s="13" t="s">
        <v>393</v>
      </c>
      <c r="L87" s="13"/>
      <c r="M87" s="13"/>
      <c r="N87" s="20" t="str">
        <f t="shared" si="1"/>
        <v xml:space="preserve">http://slimages.macys.com/is/image/MCY/20576871 </v>
      </c>
    </row>
    <row r="88" spans="1:14" x14ac:dyDescent="0.25">
      <c r="A88" s="19" t="s">
        <v>3479</v>
      </c>
      <c r="B88" s="13" t="s">
        <v>3480</v>
      </c>
      <c r="C88" s="8">
        <v>11</v>
      </c>
      <c r="D88" s="9">
        <v>28.8</v>
      </c>
      <c r="E88" s="9">
        <v>316.8</v>
      </c>
      <c r="F88" s="8" t="s">
        <v>1297</v>
      </c>
      <c r="G88" s="13" t="s">
        <v>1769</v>
      </c>
      <c r="H88" s="19" t="s">
        <v>40</v>
      </c>
      <c r="I88" s="13" t="s">
        <v>11</v>
      </c>
      <c r="J88" s="13" t="s">
        <v>343</v>
      </c>
      <c r="K88" s="13" t="s">
        <v>393</v>
      </c>
      <c r="L88" s="13"/>
      <c r="M88" s="13"/>
      <c r="N88" s="20" t="str">
        <f t="shared" si="1"/>
        <v xml:space="preserve">http://slimages.macys.com/is/image/MCY/20576871 </v>
      </c>
    </row>
    <row r="89" spans="1:14" x14ac:dyDescent="0.25">
      <c r="A89" s="19" t="s">
        <v>1524</v>
      </c>
      <c r="B89" s="13" t="s">
        <v>1525</v>
      </c>
      <c r="C89" s="8">
        <v>10</v>
      </c>
      <c r="D89" s="9">
        <v>28.8</v>
      </c>
      <c r="E89" s="9">
        <v>288</v>
      </c>
      <c r="F89" s="8" t="s">
        <v>1297</v>
      </c>
      <c r="G89" s="13" t="s">
        <v>135</v>
      </c>
      <c r="H89" s="19" t="s">
        <v>40</v>
      </c>
      <c r="I89" s="13" t="s">
        <v>11</v>
      </c>
      <c r="J89" s="13" t="s">
        <v>343</v>
      </c>
      <c r="K89" s="13" t="s">
        <v>393</v>
      </c>
      <c r="L89" s="13"/>
      <c r="M89" s="13"/>
      <c r="N89" s="20" t="str">
        <f t="shared" si="1"/>
        <v xml:space="preserve">http://slimages.macys.com/is/image/MCY/20576871 </v>
      </c>
    </row>
    <row r="90" spans="1:14" x14ac:dyDescent="0.25">
      <c r="A90" s="19" t="s">
        <v>3483</v>
      </c>
      <c r="B90" s="13" t="s">
        <v>3484</v>
      </c>
      <c r="C90" s="8">
        <v>1</v>
      </c>
      <c r="D90" s="9">
        <v>21</v>
      </c>
      <c r="E90" s="9">
        <v>21</v>
      </c>
      <c r="F90" s="8" t="s">
        <v>3485</v>
      </c>
      <c r="G90" s="13" t="s">
        <v>349</v>
      </c>
      <c r="H90" s="19" t="s">
        <v>40</v>
      </c>
      <c r="I90" s="13" t="s">
        <v>11</v>
      </c>
      <c r="J90" s="13" t="s">
        <v>343</v>
      </c>
      <c r="K90" s="13" t="s">
        <v>393</v>
      </c>
      <c r="L90" s="13"/>
      <c r="M90" s="13"/>
      <c r="N90" s="20" t="str">
        <f>HYPERLINK("http://slimages.macys.com/is/image/MCY/20429742 ")</f>
        <v xml:space="preserve">http://slimages.macys.com/is/image/MCY/20429742 </v>
      </c>
    </row>
    <row r="91" spans="1:14" x14ac:dyDescent="0.25">
      <c r="A91" s="19" t="s">
        <v>2775</v>
      </c>
      <c r="B91" s="13" t="s">
        <v>2776</v>
      </c>
      <c r="C91" s="8">
        <v>6</v>
      </c>
      <c r="D91" s="9">
        <v>27</v>
      </c>
      <c r="E91" s="9">
        <v>162</v>
      </c>
      <c r="F91" s="8" t="s">
        <v>2570</v>
      </c>
      <c r="G91" s="13" t="s">
        <v>963</v>
      </c>
      <c r="H91" s="19" t="s">
        <v>149</v>
      </c>
      <c r="I91" s="13" t="s">
        <v>11</v>
      </c>
      <c r="J91" s="13" t="s">
        <v>343</v>
      </c>
      <c r="K91" s="13" t="s">
        <v>393</v>
      </c>
      <c r="L91" s="13"/>
      <c r="M91" s="13"/>
      <c r="N91" s="20" t="str">
        <f>HYPERLINK("http://slimages.macys.com/is/image/MCY/20069875 ")</f>
        <v xml:space="preserve">http://slimages.macys.com/is/image/MCY/20069875 </v>
      </c>
    </row>
    <row r="92" spans="1:14" x14ac:dyDescent="0.25">
      <c r="A92" s="19" t="s">
        <v>3486</v>
      </c>
      <c r="B92" s="13" t="s">
        <v>3487</v>
      </c>
      <c r="C92" s="8">
        <v>3</v>
      </c>
      <c r="D92" s="9">
        <v>21.6</v>
      </c>
      <c r="E92" s="9">
        <v>64.8</v>
      </c>
      <c r="F92" s="8" t="s">
        <v>3408</v>
      </c>
      <c r="G92" s="13" t="s">
        <v>76</v>
      </c>
      <c r="H92" s="19" t="s">
        <v>55</v>
      </c>
      <c r="I92" s="13" t="s">
        <v>11</v>
      </c>
      <c r="J92" s="13" t="s">
        <v>343</v>
      </c>
      <c r="K92" s="13" t="s">
        <v>393</v>
      </c>
      <c r="L92" s="13"/>
      <c r="M92" s="13"/>
      <c r="N92" s="20" t="str">
        <f>HYPERLINK("http://slimages.macys.com/is/image/MCY/20069711 ")</f>
        <v xml:space="preserve">http://slimages.macys.com/is/image/MCY/20069711 </v>
      </c>
    </row>
    <row r="93" spans="1:14" x14ac:dyDescent="0.25">
      <c r="A93" s="19" t="s">
        <v>3507</v>
      </c>
      <c r="B93" s="13" t="s">
        <v>3508</v>
      </c>
      <c r="C93" s="8">
        <v>2</v>
      </c>
      <c r="D93" s="9">
        <v>98</v>
      </c>
      <c r="E93" s="9">
        <v>196</v>
      </c>
      <c r="F93" s="8" t="s">
        <v>3505</v>
      </c>
      <c r="G93" s="13" t="s">
        <v>31</v>
      </c>
      <c r="H93" s="19" t="s">
        <v>40</v>
      </c>
      <c r="I93" s="13" t="s">
        <v>893</v>
      </c>
      <c r="J93" s="13" t="s">
        <v>539</v>
      </c>
      <c r="K93" s="13" t="s">
        <v>3493</v>
      </c>
      <c r="L93" s="13" t="s">
        <v>220</v>
      </c>
      <c r="M93" s="13" t="s">
        <v>3506</v>
      </c>
      <c r="N93" s="20" t="str">
        <f>HYPERLINK("http://images.bloomingdales.com/is/image/BLM/11818651 ")</f>
        <v xml:space="preserve">http://images.bloomingdales.com/is/image/BLM/11818651 </v>
      </c>
    </row>
    <row r="94" spans="1:14" x14ac:dyDescent="0.25">
      <c r="A94" s="19" t="s">
        <v>3497</v>
      </c>
      <c r="B94" s="13" t="s">
        <v>3498</v>
      </c>
      <c r="C94" s="8">
        <v>1</v>
      </c>
      <c r="D94" s="9">
        <v>98</v>
      </c>
      <c r="E94" s="9">
        <v>98</v>
      </c>
      <c r="F94" s="8" t="s">
        <v>3499</v>
      </c>
      <c r="G94" s="13" t="s">
        <v>124</v>
      </c>
      <c r="H94" s="19" t="s">
        <v>32</v>
      </c>
      <c r="I94" s="13" t="s">
        <v>893</v>
      </c>
      <c r="J94" s="13" t="s">
        <v>539</v>
      </c>
      <c r="K94" s="13" t="s">
        <v>3493</v>
      </c>
      <c r="L94" s="13" t="s">
        <v>220</v>
      </c>
      <c r="M94" s="13" t="s">
        <v>3500</v>
      </c>
      <c r="N94" s="20" t="str">
        <f>HYPERLINK("http://images.bloomingdales.com/is/image/BLM/11818644 ")</f>
        <v xml:space="preserve">http://images.bloomingdales.com/is/image/BLM/11818644 </v>
      </c>
    </row>
    <row r="95" spans="1:14" x14ac:dyDescent="0.25">
      <c r="A95" s="19" t="s">
        <v>3501</v>
      </c>
      <c r="B95" s="13" t="s">
        <v>3498</v>
      </c>
      <c r="C95" s="8">
        <v>1</v>
      </c>
      <c r="D95" s="9">
        <v>98</v>
      </c>
      <c r="E95" s="9">
        <v>98</v>
      </c>
      <c r="F95" s="8" t="s">
        <v>3499</v>
      </c>
      <c r="G95" s="13" t="s">
        <v>124</v>
      </c>
      <c r="H95" s="19" t="s">
        <v>47</v>
      </c>
      <c r="I95" s="13" t="s">
        <v>893</v>
      </c>
      <c r="J95" s="13" t="s">
        <v>539</v>
      </c>
      <c r="K95" s="13" t="s">
        <v>3493</v>
      </c>
      <c r="L95" s="13" t="s">
        <v>220</v>
      </c>
      <c r="M95" s="13" t="s">
        <v>3500</v>
      </c>
      <c r="N95" s="20" t="str">
        <f>HYPERLINK("http://images.bloomingdales.com/is/image/BLM/11818644 ")</f>
        <v xml:space="preserve">http://images.bloomingdales.com/is/image/BLM/11818644 </v>
      </c>
    </row>
    <row r="96" spans="1:14" x14ac:dyDescent="0.25">
      <c r="A96" s="19" t="s">
        <v>3502</v>
      </c>
      <c r="B96" s="13" t="s">
        <v>3498</v>
      </c>
      <c r="C96" s="8">
        <v>1</v>
      </c>
      <c r="D96" s="9">
        <v>98</v>
      </c>
      <c r="E96" s="9">
        <v>98</v>
      </c>
      <c r="F96" s="8" t="s">
        <v>3499</v>
      </c>
      <c r="G96" s="13" t="s">
        <v>124</v>
      </c>
      <c r="H96" s="19" t="s">
        <v>40</v>
      </c>
      <c r="I96" s="13" t="s">
        <v>893</v>
      </c>
      <c r="J96" s="13" t="s">
        <v>539</v>
      </c>
      <c r="K96" s="13" t="s">
        <v>3493</v>
      </c>
      <c r="L96" s="13" t="s">
        <v>220</v>
      </c>
      <c r="M96" s="13" t="s">
        <v>3500</v>
      </c>
      <c r="N96" s="20" t="str">
        <f>HYPERLINK("http://images.bloomingdales.com/is/image/BLM/11818644 ")</f>
        <v xml:space="preserve">http://images.bloomingdales.com/is/image/BLM/11818644 </v>
      </c>
    </row>
    <row r="97" spans="1:14" x14ac:dyDescent="0.25">
      <c r="A97" s="19" t="s">
        <v>3503</v>
      </c>
      <c r="B97" s="13" t="s">
        <v>3498</v>
      </c>
      <c r="C97" s="8">
        <v>1</v>
      </c>
      <c r="D97" s="9">
        <v>98</v>
      </c>
      <c r="E97" s="9">
        <v>98</v>
      </c>
      <c r="F97" s="8" t="s">
        <v>3499</v>
      </c>
      <c r="G97" s="13" t="s">
        <v>124</v>
      </c>
      <c r="H97" s="19" t="s">
        <v>55</v>
      </c>
      <c r="I97" s="13" t="s">
        <v>893</v>
      </c>
      <c r="J97" s="13" t="s">
        <v>539</v>
      </c>
      <c r="K97" s="13" t="s">
        <v>3493</v>
      </c>
      <c r="L97" s="13" t="s">
        <v>220</v>
      </c>
      <c r="M97" s="13" t="s">
        <v>3500</v>
      </c>
      <c r="N97" s="20" t="str">
        <f>HYPERLINK("http://images.bloomingdales.com/is/image/BLM/11818644 ")</f>
        <v xml:space="preserve">http://images.bloomingdales.com/is/image/BLM/11818644 </v>
      </c>
    </row>
    <row r="98" spans="1:14" x14ac:dyDescent="0.25">
      <c r="A98" s="19" t="s">
        <v>3504</v>
      </c>
      <c r="B98" s="13" t="s">
        <v>3498</v>
      </c>
      <c r="C98" s="8">
        <v>1</v>
      </c>
      <c r="D98" s="9">
        <v>98</v>
      </c>
      <c r="E98" s="9">
        <v>98</v>
      </c>
      <c r="F98" s="8" t="s">
        <v>3505</v>
      </c>
      <c r="G98" s="13" t="s">
        <v>349</v>
      </c>
      <c r="H98" s="19" t="s">
        <v>32</v>
      </c>
      <c r="I98" s="13" t="s">
        <v>893</v>
      </c>
      <c r="J98" s="13" t="s">
        <v>539</v>
      </c>
      <c r="K98" s="13" t="s">
        <v>3493</v>
      </c>
      <c r="L98" s="13" t="s">
        <v>220</v>
      </c>
      <c r="M98" s="13" t="s">
        <v>3506</v>
      </c>
      <c r="N98" s="20" t="str">
        <f>HYPERLINK("http://images.bloomingdales.com/is/image/BLM/11818651 ")</f>
        <v xml:space="preserve">http://images.bloomingdales.com/is/image/BLM/11818651 </v>
      </c>
    </row>
    <row r="99" spans="1:14" x14ac:dyDescent="0.25">
      <c r="A99" s="19" t="s">
        <v>3490</v>
      </c>
      <c r="B99" s="13" t="s">
        <v>3491</v>
      </c>
      <c r="C99" s="8">
        <v>2</v>
      </c>
      <c r="D99" s="9">
        <v>88</v>
      </c>
      <c r="E99" s="9">
        <v>176</v>
      </c>
      <c r="F99" s="8" t="s">
        <v>3492</v>
      </c>
      <c r="G99" s="13" t="s">
        <v>62</v>
      </c>
      <c r="H99" s="19" t="s">
        <v>40</v>
      </c>
      <c r="I99" s="13" t="s">
        <v>893</v>
      </c>
      <c r="J99" s="13" t="s">
        <v>539</v>
      </c>
      <c r="K99" s="13" t="s">
        <v>3493</v>
      </c>
      <c r="L99" s="13" t="s">
        <v>220</v>
      </c>
      <c r="M99" s="13" t="s">
        <v>545</v>
      </c>
      <c r="N99" s="20" t="str">
        <f>HYPERLINK("http://images.bloomingdales.com/is/image/BLM/11985818 ")</f>
        <v xml:space="preserve">http://images.bloomingdales.com/is/image/BLM/11985818 </v>
      </c>
    </row>
    <row r="100" spans="1:14" x14ac:dyDescent="0.25">
      <c r="A100" s="19" t="s">
        <v>3494</v>
      </c>
      <c r="B100" s="13" t="s">
        <v>3491</v>
      </c>
      <c r="C100" s="8">
        <v>1</v>
      </c>
      <c r="D100" s="9">
        <v>88</v>
      </c>
      <c r="E100" s="9">
        <v>88</v>
      </c>
      <c r="F100" s="8" t="s">
        <v>3492</v>
      </c>
      <c r="G100" s="13" t="s">
        <v>62</v>
      </c>
      <c r="H100" s="19" t="s">
        <v>55</v>
      </c>
      <c r="I100" s="13" t="s">
        <v>893</v>
      </c>
      <c r="J100" s="13" t="s">
        <v>539</v>
      </c>
      <c r="K100" s="13" t="s">
        <v>3493</v>
      </c>
      <c r="L100" s="13" t="s">
        <v>220</v>
      </c>
      <c r="M100" s="13" t="s">
        <v>545</v>
      </c>
      <c r="N100" s="20" t="str">
        <f>HYPERLINK("http://images.bloomingdales.com/is/image/BLM/11985818 ")</f>
        <v xml:space="preserve">http://images.bloomingdales.com/is/image/BLM/11985818 </v>
      </c>
    </row>
    <row r="101" spans="1:14" x14ac:dyDescent="0.25">
      <c r="A101" s="19" t="s">
        <v>3495</v>
      </c>
      <c r="B101" s="13" t="s">
        <v>3491</v>
      </c>
      <c r="C101" s="8">
        <v>1</v>
      </c>
      <c r="D101" s="9">
        <v>26.11</v>
      </c>
      <c r="E101" s="9">
        <v>26.11</v>
      </c>
      <c r="F101" s="8" t="s">
        <v>3492</v>
      </c>
      <c r="G101" s="13" t="s">
        <v>62</v>
      </c>
      <c r="H101" s="19" t="s">
        <v>47</v>
      </c>
      <c r="I101" s="13" t="s">
        <v>893</v>
      </c>
      <c r="J101" s="13" t="s">
        <v>539</v>
      </c>
      <c r="K101" s="13" t="s">
        <v>3493</v>
      </c>
      <c r="L101" s="13" t="s">
        <v>220</v>
      </c>
      <c r="M101" s="13" t="s">
        <v>545</v>
      </c>
      <c r="N101" s="20" t="str">
        <f>HYPERLINK("http://images.bloomingdales.com/is/image/BLM/11985818 ")</f>
        <v xml:space="preserve">http://images.bloomingdales.com/is/image/BLM/11985818 </v>
      </c>
    </row>
    <row r="102" spans="1:14" x14ac:dyDescent="0.25">
      <c r="A102" s="19" t="s">
        <v>3496</v>
      </c>
      <c r="B102" s="13" t="s">
        <v>3491</v>
      </c>
      <c r="C102" s="8">
        <v>1</v>
      </c>
      <c r="D102" s="9">
        <v>88</v>
      </c>
      <c r="E102" s="9">
        <v>88</v>
      </c>
      <c r="F102" s="8" t="s">
        <v>3492</v>
      </c>
      <c r="G102" s="13" t="s">
        <v>62</v>
      </c>
      <c r="H102" s="19" t="s">
        <v>27</v>
      </c>
      <c r="I102" s="13" t="s">
        <v>893</v>
      </c>
      <c r="J102" s="13" t="s">
        <v>539</v>
      </c>
      <c r="K102" s="13" t="s">
        <v>3493</v>
      </c>
      <c r="L102" s="13" t="s">
        <v>220</v>
      </c>
      <c r="M102" s="13" t="s">
        <v>545</v>
      </c>
      <c r="N102" s="20" t="str">
        <f>HYPERLINK("http://images.bloomingdales.com/is/image/BLM/11985818 ")</f>
        <v xml:space="preserve">http://images.bloomingdales.com/is/image/BLM/11985818 </v>
      </c>
    </row>
    <row r="103" spans="1:14" x14ac:dyDescent="0.25">
      <c r="A103" s="19" t="s">
        <v>3509</v>
      </c>
      <c r="B103" s="13" t="s">
        <v>3510</v>
      </c>
      <c r="C103" s="8">
        <v>1</v>
      </c>
      <c r="D103" s="9">
        <v>85</v>
      </c>
      <c r="E103" s="9">
        <v>85</v>
      </c>
      <c r="F103" s="8" t="s">
        <v>3511</v>
      </c>
      <c r="G103" s="13" t="s">
        <v>3512</v>
      </c>
      <c r="H103" s="19" t="s">
        <v>40</v>
      </c>
      <c r="I103" s="13" t="s">
        <v>893</v>
      </c>
      <c r="J103" s="13" t="s">
        <v>539</v>
      </c>
      <c r="K103" s="13" t="s">
        <v>3493</v>
      </c>
      <c r="L103" s="13" t="s">
        <v>220</v>
      </c>
      <c r="M103" s="13" t="s">
        <v>3513</v>
      </c>
      <c r="N103" s="20" t="str">
        <f>HYPERLINK("http://images.bloomingdales.com/is/image/BLM/12179282 ")</f>
        <v xml:space="preserve">http://images.bloomingdales.com/is/image/BLM/12179282 </v>
      </c>
    </row>
    <row r="104" spans="1:14" x14ac:dyDescent="0.25">
      <c r="A104" s="19" t="s">
        <v>3463</v>
      </c>
      <c r="B104" s="13" t="s">
        <v>3464</v>
      </c>
      <c r="C104" s="8">
        <v>10</v>
      </c>
      <c r="D104" s="9">
        <v>54</v>
      </c>
      <c r="E104" s="9">
        <v>540</v>
      </c>
      <c r="F104" s="8" t="s">
        <v>1467</v>
      </c>
      <c r="G104" s="13" t="s">
        <v>107</v>
      </c>
      <c r="H104" s="19" t="s">
        <v>32</v>
      </c>
      <c r="I104" s="13" t="s">
        <v>11</v>
      </c>
      <c r="J104" s="13" t="s">
        <v>343</v>
      </c>
      <c r="K104" s="13" t="s">
        <v>1468</v>
      </c>
      <c r="L104" s="13"/>
      <c r="M104" s="13"/>
      <c r="N104" s="20" t="str">
        <f>HYPERLINK("http://slimages.macys.com/is/image/MCY/20226388 ")</f>
        <v xml:space="preserve">http://slimages.macys.com/is/image/MCY/20226388 </v>
      </c>
    </row>
    <row r="105" spans="1:14" x14ac:dyDescent="0.25">
      <c r="A105" s="19" t="s">
        <v>3461</v>
      </c>
      <c r="B105" s="13" t="s">
        <v>3462</v>
      </c>
      <c r="C105" s="8">
        <v>7</v>
      </c>
      <c r="D105" s="9">
        <v>54</v>
      </c>
      <c r="E105" s="9">
        <v>378</v>
      </c>
      <c r="F105" s="8" t="s">
        <v>1467</v>
      </c>
      <c r="G105" s="13" t="s">
        <v>107</v>
      </c>
      <c r="H105" s="19" t="s">
        <v>227</v>
      </c>
      <c r="I105" s="13" t="s">
        <v>11</v>
      </c>
      <c r="J105" s="13" t="s">
        <v>343</v>
      </c>
      <c r="K105" s="13" t="s">
        <v>1468</v>
      </c>
      <c r="L105" s="13"/>
      <c r="M105" s="13"/>
      <c r="N105" s="20" t="str">
        <f>HYPERLINK("http://slimages.macys.com/is/image/MCY/20226388 ")</f>
        <v xml:space="preserve">http://slimages.macys.com/is/image/MCY/20226388 </v>
      </c>
    </row>
    <row r="106" spans="1:14" x14ac:dyDescent="0.25">
      <c r="A106" s="19" t="s">
        <v>1621</v>
      </c>
      <c r="B106" s="13" t="s">
        <v>1622</v>
      </c>
      <c r="C106" s="8">
        <v>7</v>
      </c>
      <c r="D106" s="9">
        <v>54</v>
      </c>
      <c r="E106" s="9">
        <v>378</v>
      </c>
      <c r="F106" s="8" t="s">
        <v>1467</v>
      </c>
      <c r="G106" s="13" t="s">
        <v>107</v>
      </c>
      <c r="H106" s="19" t="s">
        <v>228</v>
      </c>
      <c r="I106" s="13" t="s">
        <v>11</v>
      </c>
      <c r="J106" s="13" t="s">
        <v>343</v>
      </c>
      <c r="K106" s="13" t="s">
        <v>1468</v>
      </c>
      <c r="L106" s="13"/>
      <c r="M106" s="13"/>
      <c r="N106" s="20" t="str">
        <f>HYPERLINK("http://slimages.macys.com/is/image/MCY/20226388 ")</f>
        <v xml:space="preserve">http://slimages.macys.com/is/image/MCY/20226388 </v>
      </c>
    </row>
    <row r="107" spans="1:14" x14ac:dyDescent="0.25">
      <c r="A107" s="19" t="s">
        <v>3455</v>
      </c>
      <c r="B107" s="13" t="s">
        <v>3456</v>
      </c>
      <c r="C107" s="8">
        <v>9</v>
      </c>
      <c r="D107" s="9">
        <v>74</v>
      </c>
      <c r="E107" s="9">
        <v>666</v>
      </c>
      <c r="F107" s="8" t="s">
        <v>1616</v>
      </c>
      <c r="G107" s="13" t="s">
        <v>102</v>
      </c>
      <c r="H107" s="19" t="s">
        <v>32</v>
      </c>
      <c r="I107" s="13" t="s">
        <v>11</v>
      </c>
      <c r="J107" s="13" t="s">
        <v>343</v>
      </c>
      <c r="K107" s="13" t="s">
        <v>1468</v>
      </c>
      <c r="L107" s="13"/>
      <c r="M107" s="13"/>
      <c r="N107" s="20" t="str">
        <f>HYPERLINK("http://slimages.macys.com/is/image/MCY/20226294 ")</f>
        <v xml:space="preserve">http://slimages.macys.com/is/image/MCY/20226294 </v>
      </c>
    </row>
    <row r="108" spans="1:14" x14ac:dyDescent="0.25">
      <c r="A108" s="19" t="s">
        <v>1614</v>
      </c>
      <c r="B108" s="13" t="s">
        <v>1615</v>
      </c>
      <c r="C108" s="8">
        <v>11</v>
      </c>
      <c r="D108" s="9">
        <v>74</v>
      </c>
      <c r="E108" s="9">
        <v>814</v>
      </c>
      <c r="F108" s="8" t="s">
        <v>1616</v>
      </c>
      <c r="G108" s="13" t="s">
        <v>102</v>
      </c>
      <c r="H108" s="19" t="s">
        <v>228</v>
      </c>
      <c r="I108" s="13" t="s">
        <v>11</v>
      </c>
      <c r="J108" s="13" t="s">
        <v>343</v>
      </c>
      <c r="K108" s="13" t="s">
        <v>1468</v>
      </c>
      <c r="L108" s="13"/>
      <c r="M108" s="13"/>
      <c r="N108" s="20" t="str">
        <f>HYPERLINK("http://slimages.macys.com/is/image/MCY/20226294 ")</f>
        <v xml:space="preserve">http://slimages.macys.com/is/image/MCY/20226294 </v>
      </c>
    </row>
    <row r="109" spans="1:14" x14ac:dyDescent="0.25">
      <c r="A109" s="19" t="s">
        <v>1321</v>
      </c>
      <c r="B109" s="13" t="s">
        <v>1322</v>
      </c>
      <c r="C109" s="8">
        <v>23</v>
      </c>
      <c r="D109" s="9">
        <v>36</v>
      </c>
      <c r="E109" s="9">
        <v>828</v>
      </c>
      <c r="F109" s="8" t="s">
        <v>1306</v>
      </c>
      <c r="G109" s="13" t="s">
        <v>31</v>
      </c>
      <c r="H109" s="19" t="s">
        <v>55</v>
      </c>
      <c r="I109" s="13" t="s">
        <v>11</v>
      </c>
      <c r="J109" s="13" t="s">
        <v>343</v>
      </c>
      <c r="K109" s="13" t="s">
        <v>379</v>
      </c>
      <c r="L109" s="13"/>
      <c r="M109" s="13"/>
      <c r="N109" s="20" t="str">
        <f t="shared" ref="N109:N115" si="2">HYPERLINK("http://slimages.macys.com/is/image/MCY/19626293 ")</f>
        <v xml:space="preserve">http://slimages.macys.com/is/image/MCY/19626293 </v>
      </c>
    </row>
    <row r="110" spans="1:14" x14ac:dyDescent="0.25">
      <c r="A110" s="19" t="s">
        <v>1546</v>
      </c>
      <c r="B110" s="13" t="s">
        <v>1547</v>
      </c>
      <c r="C110" s="8">
        <v>9</v>
      </c>
      <c r="D110" s="9">
        <v>36</v>
      </c>
      <c r="E110" s="9">
        <v>324</v>
      </c>
      <c r="F110" s="8" t="s">
        <v>1306</v>
      </c>
      <c r="G110" s="13" t="s">
        <v>44</v>
      </c>
      <c r="H110" s="19" t="s">
        <v>32</v>
      </c>
      <c r="I110" s="13" t="s">
        <v>11</v>
      </c>
      <c r="J110" s="13" t="s">
        <v>343</v>
      </c>
      <c r="K110" s="13" t="s">
        <v>379</v>
      </c>
      <c r="L110" s="13"/>
      <c r="M110" s="13"/>
      <c r="N110" s="20" t="str">
        <f t="shared" si="2"/>
        <v xml:space="preserve">http://slimages.macys.com/is/image/MCY/19626293 </v>
      </c>
    </row>
    <row r="111" spans="1:14" x14ac:dyDescent="0.25">
      <c r="A111" s="19" t="s">
        <v>1315</v>
      </c>
      <c r="B111" s="13" t="s">
        <v>1316</v>
      </c>
      <c r="C111" s="8">
        <v>8</v>
      </c>
      <c r="D111" s="9">
        <v>36</v>
      </c>
      <c r="E111" s="9">
        <v>288</v>
      </c>
      <c r="F111" s="8" t="s">
        <v>1306</v>
      </c>
      <c r="G111" s="13" t="s">
        <v>44</v>
      </c>
      <c r="H111" s="19" t="s">
        <v>40</v>
      </c>
      <c r="I111" s="13" t="s">
        <v>11</v>
      </c>
      <c r="J111" s="13" t="s">
        <v>343</v>
      </c>
      <c r="K111" s="13" t="s">
        <v>379</v>
      </c>
      <c r="L111" s="13"/>
      <c r="M111" s="13"/>
      <c r="N111" s="20" t="str">
        <f t="shared" si="2"/>
        <v xml:space="preserve">http://slimages.macys.com/is/image/MCY/19626293 </v>
      </c>
    </row>
    <row r="112" spans="1:14" x14ac:dyDescent="0.25">
      <c r="A112" s="19" t="s">
        <v>1313</v>
      </c>
      <c r="B112" s="13" t="s">
        <v>1314</v>
      </c>
      <c r="C112" s="8">
        <v>24</v>
      </c>
      <c r="D112" s="9">
        <v>36</v>
      </c>
      <c r="E112" s="9">
        <v>864</v>
      </c>
      <c r="F112" s="8" t="s">
        <v>1306</v>
      </c>
      <c r="G112" s="13" t="s">
        <v>44</v>
      </c>
      <c r="H112" s="19" t="s">
        <v>27</v>
      </c>
      <c r="I112" s="13" t="s">
        <v>11</v>
      </c>
      <c r="J112" s="13" t="s">
        <v>343</v>
      </c>
      <c r="K112" s="13" t="s">
        <v>379</v>
      </c>
      <c r="L112" s="13"/>
      <c r="M112" s="13"/>
      <c r="N112" s="20" t="str">
        <f t="shared" si="2"/>
        <v xml:space="preserve">http://slimages.macys.com/is/image/MCY/19626293 </v>
      </c>
    </row>
    <row r="113" spans="1:14" x14ac:dyDescent="0.25">
      <c r="A113" s="19" t="s">
        <v>1325</v>
      </c>
      <c r="B113" s="13" t="s">
        <v>1326</v>
      </c>
      <c r="C113" s="8">
        <v>6</v>
      </c>
      <c r="D113" s="9">
        <v>36</v>
      </c>
      <c r="E113" s="9">
        <v>216</v>
      </c>
      <c r="F113" s="8" t="s">
        <v>1306</v>
      </c>
      <c r="G113" s="13" t="s">
        <v>86</v>
      </c>
      <c r="H113" s="19" t="s">
        <v>32</v>
      </c>
      <c r="I113" s="13" t="s">
        <v>11</v>
      </c>
      <c r="J113" s="13" t="s">
        <v>343</v>
      </c>
      <c r="K113" s="13" t="s">
        <v>379</v>
      </c>
      <c r="L113" s="13"/>
      <c r="M113" s="13"/>
      <c r="N113" s="20" t="str">
        <f t="shared" si="2"/>
        <v xml:space="preserve">http://slimages.macys.com/is/image/MCY/19626293 </v>
      </c>
    </row>
    <row r="114" spans="1:14" x14ac:dyDescent="0.25">
      <c r="A114" s="19" t="s">
        <v>1323</v>
      </c>
      <c r="B114" s="13" t="s">
        <v>1324</v>
      </c>
      <c r="C114" s="8">
        <v>23</v>
      </c>
      <c r="D114" s="9">
        <v>36</v>
      </c>
      <c r="E114" s="9">
        <v>828</v>
      </c>
      <c r="F114" s="8" t="s">
        <v>1306</v>
      </c>
      <c r="G114" s="13" t="s">
        <v>86</v>
      </c>
      <c r="H114" s="19" t="s">
        <v>27</v>
      </c>
      <c r="I114" s="13" t="s">
        <v>11</v>
      </c>
      <c r="J114" s="13" t="s">
        <v>343</v>
      </c>
      <c r="K114" s="13" t="s">
        <v>379</v>
      </c>
      <c r="L114" s="13"/>
      <c r="M114" s="13"/>
      <c r="N114" s="20" t="str">
        <f t="shared" si="2"/>
        <v xml:space="preserve">http://slimages.macys.com/is/image/MCY/19626293 </v>
      </c>
    </row>
    <row r="115" spans="1:14" x14ac:dyDescent="0.25">
      <c r="A115" s="19" t="s">
        <v>1309</v>
      </c>
      <c r="B115" s="13" t="s">
        <v>1310</v>
      </c>
      <c r="C115" s="8">
        <v>2</v>
      </c>
      <c r="D115" s="9">
        <v>36</v>
      </c>
      <c r="E115" s="9">
        <v>72</v>
      </c>
      <c r="F115" s="8" t="s">
        <v>1306</v>
      </c>
      <c r="G115" s="13" t="s">
        <v>349</v>
      </c>
      <c r="H115" s="19" t="s">
        <v>55</v>
      </c>
      <c r="I115" s="13" t="s">
        <v>11</v>
      </c>
      <c r="J115" s="13" t="s">
        <v>343</v>
      </c>
      <c r="K115" s="13" t="s">
        <v>379</v>
      </c>
      <c r="L115" s="13"/>
      <c r="M115" s="13"/>
      <c r="N115" s="20" t="str">
        <f t="shared" si="2"/>
        <v xml:space="preserve">http://slimages.macys.com/is/image/MCY/19626293 </v>
      </c>
    </row>
    <row r="116" spans="1:14" x14ac:dyDescent="0.25">
      <c r="A116" s="19" t="s">
        <v>1302</v>
      </c>
      <c r="B116" s="13" t="s">
        <v>1303</v>
      </c>
      <c r="C116" s="8">
        <v>22</v>
      </c>
      <c r="D116" s="9">
        <v>36</v>
      </c>
      <c r="E116" s="9">
        <v>792</v>
      </c>
      <c r="F116" s="8" t="s">
        <v>408</v>
      </c>
      <c r="G116" s="13" t="s">
        <v>349</v>
      </c>
      <c r="H116" s="19" t="s">
        <v>32</v>
      </c>
      <c r="I116" s="13" t="s">
        <v>11</v>
      </c>
      <c r="J116" s="13" t="s">
        <v>343</v>
      </c>
      <c r="K116" s="13" t="s">
        <v>379</v>
      </c>
      <c r="L116" s="13"/>
      <c r="M116" s="13"/>
      <c r="N116" s="20" t="str">
        <f>HYPERLINK("http://slimages.macys.com/is/image/MCY/19626301 ")</f>
        <v xml:space="preserve">http://slimages.macys.com/is/image/MCY/19626301 </v>
      </c>
    </row>
    <row r="117" spans="1:14" x14ac:dyDescent="0.25">
      <c r="A117" s="19" t="s">
        <v>3432</v>
      </c>
      <c r="B117" s="13" t="s">
        <v>3433</v>
      </c>
      <c r="C117" s="8">
        <v>1</v>
      </c>
      <c r="D117" s="9">
        <v>48</v>
      </c>
      <c r="E117" s="9">
        <v>48</v>
      </c>
      <c r="F117" s="8">
        <v>65547</v>
      </c>
      <c r="G117" s="13" t="s">
        <v>114</v>
      </c>
      <c r="H117" s="19" t="s">
        <v>3338</v>
      </c>
      <c r="I117" s="13" t="s">
        <v>11</v>
      </c>
      <c r="J117" s="13" t="s">
        <v>233</v>
      </c>
      <c r="K117" s="13" t="s">
        <v>234</v>
      </c>
      <c r="L117" s="13" t="s">
        <v>111</v>
      </c>
      <c r="M117" s="13" t="s">
        <v>113</v>
      </c>
      <c r="N117" s="20" t="str">
        <f>HYPERLINK("http://slimages.macys.com/is/image/MCY/3651267 ")</f>
        <v xml:space="preserve">http://slimages.macys.com/is/image/MCY/3651267 </v>
      </c>
    </row>
  </sheetData>
  <sortState ref="A2:N117">
    <sortCondition ref="B1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D8" sqref="D8"/>
    </sheetView>
  </sheetViews>
  <sheetFormatPr defaultColWidth="81.85546875" defaultRowHeight="15" x14ac:dyDescent="0.25"/>
  <cols>
    <col min="1" max="1" width="13.140625" style="11" bestFit="1" customWidth="1"/>
    <col min="2" max="2" width="64.7109375" style="11" bestFit="1" customWidth="1"/>
    <col min="3" max="3" width="12.42578125" style="11" bestFit="1" customWidth="1"/>
    <col min="4" max="4" width="15" style="11" bestFit="1" customWidth="1"/>
    <col min="5" max="5" width="21" style="11" bestFit="1" customWidth="1"/>
    <col min="6" max="6" width="21.7109375" style="11" bestFit="1" customWidth="1"/>
    <col min="7" max="7" width="12.28515625" style="11" bestFit="1" customWidth="1"/>
    <col min="8" max="8" width="10.85546875" style="11" bestFit="1" customWidth="1"/>
    <col min="9" max="9" width="8.140625" style="11" bestFit="1" customWidth="1"/>
    <col min="10" max="10" width="17.5703125" style="11" bestFit="1" customWidth="1"/>
    <col min="11" max="11" width="38.140625" style="11" bestFit="1" customWidth="1"/>
    <col min="12" max="12" width="17.7109375" style="11" bestFit="1" customWidth="1"/>
    <col min="13" max="13" width="26.85546875" style="11" bestFit="1" customWidth="1"/>
    <col min="14" max="14" width="42.85546875" style="11" bestFit="1" customWidth="1"/>
    <col min="15" max="16384" width="81.85546875" style="11"/>
  </cols>
  <sheetData>
    <row r="1" spans="1:14" x14ac:dyDescent="0.25">
      <c r="A1" s="1" t="s">
        <v>12</v>
      </c>
      <c r="B1" s="1" t="s">
        <v>13</v>
      </c>
      <c r="C1" s="1" t="s">
        <v>14</v>
      </c>
      <c r="D1" s="1" t="s">
        <v>5</v>
      </c>
      <c r="E1" s="1" t="s">
        <v>9</v>
      </c>
      <c r="F1" s="1" t="s">
        <v>15</v>
      </c>
      <c r="G1" s="1" t="s">
        <v>16</v>
      </c>
      <c r="H1" s="1" t="s">
        <v>17</v>
      </c>
      <c r="I1" s="1" t="s">
        <v>10</v>
      </c>
      <c r="J1" s="1" t="s">
        <v>18</v>
      </c>
      <c r="K1" s="1" t="s">
        <v>19</v>
      </c>
      <c r="L1" s="1" t="s">
        <v>20</v>
      </c>
      <c r="M1" s="1" t="s">
        <v>21</v>
      </c>
      <c r="N1" s="1" t="s">
        <v>22</v>
      </c>
    </row>
    <row r="2" spans="1:14" x14ac:dyDescent="0.25">
      <c r="A2" s="4" t="s">
        <v>3336</v>
      </c>
      <c r="B2" s="3" t="s">
        <v>3337</v>
      </c>
      <c r="C2" s="2">
        <v>2</v>
      </c>
      <c r="D2" s="24">
        <v>26.99</v>
      </c>
      <c r="E2" s="24">
        <v>53.98</v>
      </c>
      <c r="F2" s="2" t="s">
        <v>3329</v>
      </c>
      <c r="G2" s="3" t="s">
        <v>31</v>
      </c>
      <c r="H2" s="4" t="s">
        <v>32</v>
      </c>
      <c r="I2" s="3" t="s">
        <v>11</v>
      </c>
      <c r="J2" s="3" t="s">
        <v>28</v>
      </c>
      <c r="K2" s="3" t="s">
        <v>29</v>
      </c>
      <c r="L2" s="3"/>
      <c r="M2" s="3"/>
      <c r="N2" s="25" t="str">
        <f>HYPERLINK("http://slimages.macys.com/is/image/MCY/19863901 ")</f>
        <v xml:space="preserve">http://slimages.macys.com/is/image/MCY/19863901 </v>
      </c>
    </row>
    <row r="3" spans="1:14" x14ac:dyDescent="0.25">
      <c r="A3" s="4" t="s">
        <v>3570</v>
      </c>
      <c r="B3" s="3" t="s">
        <v>3571</v>
      </c>
      <c r="C3" s="2">
        <v>1</v>
      </c>
      <c r="D3" s="24">
        <v>21.99</v>
      </c>
      <c r="E3" s="24">
        <v>21.99</v>
      </c>
      <c r="F3" s="2" t="s">
        <v>600</v>
      </c>
      <c r="G3" s="3" t="s">
        <v>57</v>
      </c>
      <c r="H3" s="4" t="s">
        <v>27</v>
      </c>
      <c r="I3" s="3" t="s">
        <v>11</v>
      </c>
      <c r="J3" s="3" t="s">
        <v>28</v>
      </c>
      <c r="K3" s="3" t="s">
        <v>29</v>
      </c>
      <c r="L3" s="3"/>
      <c r="M3" s="3"/>
      <c r="N3" s="25" t="str">
        <f>HYPERLINK("http://slimages.macys.com/is/image/MCY/19711779 ")</f>
        <v xml:space="preserve">http://slimages.macys.com/is/image/MCY/19711779 </v>
      </c>
    </row>
    <row r="4" spans="1:14" x14ac:dyDescent="0.25">
      <c r="A4" s="4" t="s">
        <v>598</v>
      </c>
      <c r="B4" s="3" t="s">
        <v>599</v>
      </c>
      <c r="C4" s="2">
        <v>1</v>
      </c>
      <c r="D4" s="24">
        <v>21.99</v>
      </c>
      <c r="E4" s="24">
        <v>21.99</v>
      </c>
      <c r="F4" s="2" t="s">
        <v>600</v>
      </c>
      <c r="G4" s="3" t="s">
        <v>82</v>
      </c>
      <c r="H4" s="4" t="s">
        <v>27</v>
      </c>
      <c r="I4" s="3" t="s">
        <v>11</v>
      </c>
      <c r="J4" s="3" t="s">
        <v>28</v>
      </c>
      <c r="K4" s="3" t="s">
        <v>29</v>
      </c>
      <c r="L4" s="3"/>
      <c r="M4" s="3"/>
      <c r="N4" s="25" t="str">
        <f>HYPERLINK("http://slimages.macys.com/is/image/MCY/19701310 ")</f>
        <v xml:space="preserve">http://slimages.macys.com/is/image/MCY/19701310 </v>
      </c>
    </row>
    <row r="5" spans="1:14" x14ac:dyDescent="0.25">
      <c r="A5" s="4" t="s">
        <v>3652</v>
      </c>
      <c r="B5" s="3" t="s">
        <v>3653</v>
      </c>
      <c r="C5" s="2">
        <v>1</v>
      </c>
      <c r="D5" s="24">
        <v>19.989999999999998</v>
      </c>
      <c r="E5" s="24">
        <v>19.989999999999998</v>
      </c>
      <c r="F5" s="2" t="s">
        <v>3574</v>
      </c>
      <c r="G5" s="3" t="s">
        <v>488</v>
      </c>
      <c r="H5" s="4" t="s">
        <v>27</v>
      </c>
      <c r="I5" s="3" t="s">
        <v>11</v>
      </c>
      <c r="J5" s="3" t="s">
        <v>28</v>
      </c>
      <c r="K5" s="3" t="s">
        <v>29</v>
      </c>
      <c r="L5" s="3" t="s">
        <v>111</v>
      </c>
      <c r="M5" s="3" t="s">
        <v>303</v>
      </c>
      <c r="N5" s="25" t="str">
        <f>HYPERLINK("http://slimages.macys.com/is/image/MCY/16271427 ")</f>
        <v xml:space="preserve">http://slimages.macys.com/is/image/MCY/16271427 </v>
      </c>
    </row>
    <row r="6" spans="1:14" x14ac:dyDescent="0.25">
      <c r="A6" s="4" t="s">
        <v>3649</v>
      </c>
      <c r="B6" s="3" t="s">
        <v>3650</v>
      </c>
      <c r="C6" s="2">
        <v>1</v>
      </c>
      <c r="D6" s="24">
        <v>39.99</v>
      </c>
      <c r="E6" s="24">
        <v>39.99</v>
      </c>
      <c r="F6" s="2" t="s">
        <v>3651</v>
      </c>
      <c r="G6" s="3" t="s">
        <v>58</v>
      </c>
      <c r="H6" s="4" t="s">
        <v>32</v>
      </c>
      <c r="I6" s="3" t="s">
        <v>11</v>
      </c>
      <c r="J6" s="3" t="s">
        <v>28</v>
      </c>
      <c r="K6" s="3" t="s">
        <v>29</v>
      </c>
      <c r="L6" s="3"/>
      <c r="M6" s="3"/>
      <c r="N6" s="25" t="str">
        <f>HYPERLINK("http://slimages.macys.com/is/image/MCY/1521017 ")</f>
        <v xml:space="preserve">http://slimages.macys.com/is/image/MCY/1521017 </v>
      </c>
    </row>
    <row r="7" spans="1:14" x14ac:dyDescent="0.25">
      <c r="A7" s="4" t="s">
        <v>3646</v>
      </c>
      <c r="B7" s="3" t="s">
        <v>3647</v>
      </c>
      <c r="C7" s="2">
        <v>2</v>
      </c>
      <c r="D7" s="24">
        <v>39.99</v>
      </c>
      <c r="E7" s="24">
        <v>79.98</v>
      </c>
      <c r="F7" s="2" t="s">
        <v>3648</v>
      </c>
      <c r="G7" s="3" t="s">
        <v>58</v>
      </c>
      <c r="H7" s="4" t="s">
        <v>32</v>
      </c>
      <c r="I7" s="3" t="s">
        <v>11</v>
      </c>
      <c r="J7" s="3" t="s">
        <v>28</v>
      </c>
      <c r="K7" s="3" t="s">
        <v>29</v>
      </c>
      <c r="L7" s="3"/>
      <c r="M7" s="3"/>
      <c r="N7" s="25" t="str">
        <f>HYPERLINK("http://slimages.macys.com/is/image/MCY/1521017 ")</f>
        <v xml:space="preserve">http://slimages.macys.com/is/image/MCY/1521017 </v>
      </c>
    </row>
    <row r="8" spans="1:14" x14ac:dyDescent="0.25">
      <c r="A8" s="4" t="s">
        <v>3688</v>
      </c>
      <c r="B8" s="3" t="s">
        <v>3689</v>
      </c>
      <c r="C8" s="2">
        <v>1</v>
      </c>
      <c r="D8" s="24">
        <v>49.95</v>
      </c>
      <c r="E8" s="24">
        <v>49.95</v>
      </c>
      <c r="F8" s="2" t="s">
        <v>3690</v>
      </c>
      <c r="G8" s="3" t="s">
        <v>31</v>
      </c>
      <c r="H8" s="4" t="s">
        <v>40</v>
      </c>
      <c r="I8" s="3" t="s">
        <v>11</v>
      </c>
      <c r="J8" s="3" t="s">
        <v>343</v>
      </c>
      <c r="K8" s="3" t="s">
        <v>765</v>
      </c>
      <c r="L8" s="3"/>
      <c r="M8" s="3"/>
      <c r="N8" s="25"/>
    </row>
    <row r="9" spans="1:14" x14ac:dyDescent="0.25">
      <c r="A9" s="4" t="s">
        <v>3303</v>
      </c>
      <c r="B9" s="3" t="s">
        <v>3304</v>
      </c>
      <c r="C9" s="2">
        <v>1</v>
      </c>
      <c r="D9" s="24">
        <v>44</v>
      </c>
      <c r="E9" s="24">
        <v>44</v>
      </c>
      <c r="F9" s="2" t="s">
        <v>954</v>
      </c>
      <c r="G9" s="3" t="s">
        <v>104</v>
      </c>
      <c r="H9" s="4" t="s">
        <v>47</v>
      </c>
      <c r="I9" s="3" t="s">
        <v>11</v>
      </c>
      <c r="J9" s="3" t="s">
        <v>142</v>
      </c>
      <c r="K9" s="3" t="s">
        <v>143</v>
      </c>
      <c r="L9" s="3"/>
      <c r="M9" s="3"/>
      <c r="N9" s="25" t="str">
        <f>HYPERLINK("http://slimages.macys.com/is/image/MCY/20121097 ")</f>
        <v xml:space="preserve">http://slimages.macys.com/is/image/MCY/20121097 </v>
      </c>
    </row>
    <row r="10" spans="1:14" x14ac:dyDescent="0.25">
      <c r="A10" s="4" t="s">
        <v>3676</v>
      </c>
      <c r="B10" s="3" t="s">
        <v>3677</v>
      </c>
      <c r="C10" s="2">
        <v>1</v>
      </c>
      <c r="D10" s="24">
        <v>19.5</v>
      </c>
      <c r="E10" s="24">
        <v>19.5</v>
      </c>
      <c r="F10" s="2" t="s">
        <v>776</v>
      </c>
      <c r="G10" s="3" t="s">
        <v>137</v>
      </c>
      <c r="H10" s="4" t="s">
        <v>228</v>
      </c>
      <c r="I10" s="3" t="s">
        <v>11</v>
      </c>
      <c r="J10" s="3" t="s">
        <v>343</v>
      </c>
      <c r="K10" s="3" t="s">
        <v>360</v>
      </c>
      <c r="L10" s="3"/>
      <c r="M10" s="3"/>
      <c r="N10" s="25" t="str">
        <f>HYPERLINK("http://slimages.macys.com/is/image/MCY/19754635 ")</f>
        <v xml:space="preserve">http://slimages.macys.com/is/image/MCY/19754635 </v>
      </c>
    </row>
    <row r="11" spans="1:14" x14ac:dyDescent="0.25">
      <c r="A11" s="4" t="s">
        <v>3670</v>
      </c>
      <c r="B11" s="3" t="s">
        <v>3671</v>
      </c>
      <c r="C11" s="2">
        <v>1</v>
      </c>
      <c r="D11" s="24">
        <v>36.75</v>
      </c>
      <c r="E11" s="24">
        <v>36.75</v>
      </c>
      <c r="F11" s="2" t="s">
        <v>3672</v>
      </c>
      <c r="G11" s="3" t="s">
        <v>122</v>
      </c>
      <c r="H11" s="4" t="s">
        <v>227</v>
      </c>
      <c r="I11" s="3" t="s">
        <v>11</v>
      </c>
      <c r="J11" s="3" t="s">
        <v>343</v>
      </c>
      <c r="K11" s="3" t="s">
        <v>2939</v>
      </c>
      <c r="L11" s="3" t="s">
        <v>111</v>
      </c>
      <c r="M11" s="3" t="s">
        <v>303</v>
      </c>
      <c r="N11" s="25" t="str">
        <f>HYPERLINK("http://slimages.macys.com/is/image/MCY/8396603 ")</f>
        <v xml:space="preserve">http://slimages.macys.com/is/image/MCY/8396603 </v>
      </c>
    </row>
    <row r="12" spans="1:14" x14ac:dyDescent="0.25">
      <c r="A12" s="4" t="s">
        <v>3680</v>
      </c>
      <c r="B12" s="3" t="s">
        <v>3681</v>
      </c>
      <c r="C12" s="2">
        <v>1</v>
      </c>
      <c r="D12" s="24">
        <v>32</v>
      </c>
      <c r="E12" s="24">
        <v>32</v>
      </c>
      <c r="F12" s="2">
        <v>100106488</v>
      </c>
      <c r="G12" s="3" t="s">
        <v>31</v>
      </c>
      <c r="H12" s="4" t="s">
        <v>27</v>
      </c>
      <c r="I12" s="3" t="s">
        <v>11</v>
      </c>
      <c r="J12" s="3" t="s">
        <v>427</v>
      </c>
      <c r="K12" s="3" t="s">
        <v>428</v>
      </c>
      <c r="L12" s="3"/>
      <c r="M12" s="3"/>
      <c r="N12" s="25" t="str">
        <f>HYPERLINK("http://slimages.macys.com/is/image/MCY/17534295 ")</f>
        <v xml:space="preserve">http://slimages.macys.com/is/image/MCY/17534295 </v>
      </c>
    </row>
    <row r="13" spans="1:14" x14ac:dyDescent="0.25">
      <c r="A13" s="4" t="s">
        <v>3654</v>
      </c>
      <c r="B13" s="3" t="s">
        <v>3655</v>
      </c>
      <c r="C13" s="2">
        <v>2</v>
      </c>
      <c r="D13" s="24">
        <v>39.99</v>
      </c>
      <c r="E13" s="24">
        <v>79.98</v>
      </c>
      <c r="F13" s="2" t="s">
        <v>733</v>
      </c>
      <c r="G13" s="3" t="s">
        <v>205</v>
      </c>
      <c r="H13" s="4" t="s">
        <v>55</v>
      </c>
      <c r="I13" s="3" t="s">
        <v>11</v>
      </c>
      <c r="J13" s="3" t="s">
        <v>263</v>
      </c>
      <c r="K13" s="3" t="s">
        <v>264</v>
      </c>
      <c r="L13" s="3" t="s">
        <v>111</v>
      </c>
      <c r="M13" s="3" t="s">
        <v>734</v>
      </c>
      <c r="N13" s="25" t="str">
        <f>HYPERLINK("http://slimages.macys.com/is/image/MCY/21143579 ")</f>
        <v xml:space="preserve">http://slimages.macys.com/is/image/MCY/21143579 </v>
      </c>
    </row>
    <row r="14" spans="1:14" x14ac:dyDescent="0.25">
      <c r="A14" s="4" t="s">
        <v>3656</v>
      </c>
      <c r="B14" s="3" t="s">
        <v>3657</v>
      </c>
      <c r="C14" s="2">
        <v>1</v>
      </c>
      <c r="D14" s="24">
        <v>39.99</v>
      </c>
      <c r="E14" s="24">
        <v>39.99</v>
      </c>
      <c r="F14" s="2" t="s">
        <v>733</v>
      </c>
      <c r="G14" s="3" t="s">
        <v>205</v>
      </c>
      <c r="H14" s="4" t="s">
        <v>47</v>
      </c>
      <c r="I14" s="3" t="s">
        <v>11</v>
      </c>
      <c r="J14" s="3" t="s">
        <v>263</v>
      </c>
      <c r="K14" s="3" t="s">
        <v>264</v>
      </c>
      <c r="L14" s="3"/>
      <c r="M14" s="3"/>
      <c r="N14" s="25" t="str">
        <f>HYPERLINK("http://slimages.macys.com/is/image/MCY/20777013 ")</f>
        <v xml:space="preserve">http://slimages.macys.com/is/image/MCY/20777013 </v>
      </c>
    </row>
    <row r="15" spans="1:14" x14ac:dyDescent="0.25">
      <c r="A15" s="4" t="s">
        <v>3658</v>
      </c>
      <c r="B15" s="3" t="s">
        <v>3659</v>
      </c>
      <c r="C15" s="2">
        <v>2</v>
      </c>
      <c r="D15" s="24">
        <v>34.99</v>
      </c>
      <c r="E15" s="24">
        <v>69.98</v>
      </c>
      <c r="F15" s="2" t="s">
        <v>3660</v>
      </c>
      <c r="G15" s="3" t="s">
        <v>78</v>
      </c>
      <c r="H15" s="4" t="s">
        <v>27</v>
      </c>
      <c r="I15" s="3" t="s">
        <v>11</v>
      </c>
      <c r="J15" s="3" t="s">
        <v>263</v>
      </c>
      <c r="K15" s="3" t="s">
        <v>264</v>
      </c>
      <c r="L15" s="3"/>
      <c r="M15" s="3"/>
      <c r="N15" s="25" t="str">
        <f>HYPERLINK("http://slimages.macys.com/is/image/MCY/18613652 ")</f>
        <v xml:space="preserve">http://slimages.macys.com/is/image/MCY/18613652 </v>
      </c>
    </row>
    <row r="16" spans="1:14" x14ac:dyDescent="0.25">
      <c r="A16" s="4" t="s">
        <v>3682</v>
      </c>
      <c r="B16" s="3" t="s">
        <v>3683</v>
      </c>
      <c r="C16" s="2">
        <v>2</v>
      </c>
      <c r="D16" s="24">
        <v>23.99</v>
      </c>
      <c r="E16" s="24">
        <v>47.98</v>
      </c>
      <c r="F16" s="2">
        <v>100117217</v>
      </c>
      <c r="G16" s="3" t="s">
        <v>124</v>
      </c>
      <c r="H16" s="4" t="s">
        <v>55</v>
      </c>
      <c r="I16" s="3" t="s">
        <v>11</v>
      </c>
      <c r="J16" s="3" t="s">
        <v>427</v>
      </c>
      <c r="K16" s="3" t="s">
        <v>428</v>
      </c>
      <c r="L16" s="3"/>
      <c r="M16" s="3"/>
      <c r="N16" s="25" t="str">
        <f>HYPERLINK("http://slimages.macys.com/is/image/MCY/18421807 ")</f>
        <v xml:space="preserve">http://slimages.macys.com/is/image/MCY/18421807 </v>
      </c>
    </row>
    <row r="17" spans="1:14" x14ac:dyDescent="0.25">
      <c r="A17" s="4" t="s">
        <v>1353</v>
      </c>
      <c r="B17" s="3" t="s">
        <v>1354</v>
      </c>
      <c r="C17" s="2">
        <v>1</v>
      </c>
      <c r="D17" s="24">
        <v>40</v>
      </c>
      <c r="E17" s="24">
        <v>40</v>
      </c>
      <c r="F17" s="2">
        <v>100077742</v>
      </c>
      <c r="G17" s="3" t="s">
        <v>104</v>
      </c>
      <c r="H17" s="4" t="s">
        <v>55</v>
      </c>
      <c r="I17" s="3" t="s">
        <v>11</v>
      </c>
      <c r="J17" s="3" t="s">
        <v>427</v>
      </c>
      <c r="K17" s="3" t="s">
        <v>428</v>
      </c>
      <c r="L17" s="3"/>
      <c r="M17" s="3"/>
      <c r="N17" s="25" t="str">
        <f>HYPERLINK("http://slimages.macys.com/is/image/MCY/17534305 ")</f>
        <v xml:space="preserve">http://slimages.macys.com/is/image/MCY/17534305 </v>
      </c>
    </row>
    <row r="18" spans="1:14" x14ac:dyDescent="0.25">
      <c r="A18" s="4" t="s">
        <v>1351</v>
      </c>
      <c r="B18" s="3" t="s">
        <v>1352</v>
      </c>
      <c r="C18" s="2">
        <v>1</v>
      </c>
      <c r="D18" s="24">
        <v>40</v>
      </c>
      <c r="E18" s="24">
        <v>40</v>
      </c>
      <c r="F18" s="2">
        <v>100131764</v>
      </c>
      <c r="G18" s="3" t="s">
        <v>76</v>
      </c>
      <c r="H18" s="4" t="s">
        <v>32</v>
      </c>
      <c r="I18" s="3" t="s">
        <v>11</v>
      </c>
      <c r="J18" s="3" t="s">
        <v>427</v>
      </c>
      <c r="K18" s="3" t="s">
        <v>428</v>
      </c>
      <c r="L18" s="3"/>
      <c r="M18" s="3"/>
      <c r="N18" s="25" t="str">
        <f>HYPERLINK("http://slimages.macys.com/is/image/MCY/19817424 ")</f>
        <v xml:space="preserve">http://slimages.macys.com/is/image/MCY/19817424 </v>
      </c>
    </row>
    <row r="19" spans="1:14" x14ac:dyDescent="0.25">
      <c r="A19" s="4" t="s">
        <v>3641</v>
      </c>
      <c r="B19" s="3" t="s">
        <v>3642</v>
      </c>
      <c r="C19" s="2">
        <v>1</v>
      </c>
      <c r="D19" s="24">
        <v>40</v>
      </c>
      <c r="E19" s="24">
        <v>40</v>
      </c>
      <c r="F19" s="2">
        <v>100131764</v>
      </c>
      <c r="G19" s="3" t="s">
        <v>31</v>
      </c>
      <c r="H19" s="4" t="s">
        <v>40</v>
      </c>
      <c r="I19" s="3" t="s">
        <v>11</v>
      </c>
      <c r="J19" s="3" t="s">
        <v>427</v>
      </c>
      <c r="K19" s="3" t="s">
        <v>428</v>
      </c>
      <c r="L19" s="3"/>
      <c r="M19" s="3"/>
      <c r="N19" s="25" t="str">
        <f>HYPERLINK("http://slimages.macys.com/is/image/MCY/19817424 ")</f>
        <v xml:space="preserve">http://slimages.macys.com/is/image/MCY/19817424 </v>
      </c>
    </row>
    <row r="20" spans="1:14" x14ac:dyDescent="0.25">
      <c r="A20" s="4" t="s">
        <v>3686</v>
      </c>
      <c r="B20" s="3" t="s">
        <v>3687</v>
      </c>
      <c r="C20" s="2">
        <v>26</v>
      </c>
      <c r="D20" s="24">
        <v>19.989999999999998</v>
      </c>
      <c r="E20" s="24">
        <v>519.74</v>
      </c>
      <c r="F20" s="2">
        <v>100138008</v>
      </c>
      <c r="G20" s="3" t="s">
        <v>202</v>
      </c>
      <c r="H20" s="4" t="s">
        <v>87</v>
      </c>
      <c r="I20" s="3" t="s">
        <v>11</v>
      </c>
      <c r="J20" s="3" t="s">
        <v>427</v>
      </c>
      <c r="K20" s="3" t="s">
        <v>428</v>
      </c>
      <c r="L20" s="3"/>
      <c r="M20" s="3"/>
      <c r="N20" s="25" t="str">
        <f>HYPERLINK("http://slimages.macys.com/is/image/MCY/1055957 ")</f>
        <v xml:space="preserve">http://slimages.macys.com/is/image/MCY/1055957 </v>
      </c>
    </row>
    <row r="21" spans="1:14" x14ac:dyDescent="0.25">
      <c r="A21" s="4" t="s">
        <v>3684</v>
      </c>
      <c r="B21" s="3" t="s">
        <v>3685</v>
      </c>
      <c r="C21" s="2">
        <v>45</v>
      </c>
      <c r="D21" s="24">
        <v>19.989999999999998</v>
      </c>
      <c r="E21" s="24">
        <v>899.55</v>
      </c>
      <c r="F21" s="2">
        <v>100138006</v>
      </c>
      <c r="G21" s="3" t="s">
        <v>31</v>
      </c>
      <c r="H21" s="4" t="s">
        <v>87</v>
      </c>
      <c r="I21" s="3" t="s">
        <v>11</v>
      </c>
      <c r="J21" s="3" t="s">
        <v>427</v>
      </c>
      <c r="K21" s="3" t="s">
        <v>428</v>
      </c>
      <c r="L21" s="3"/>
      <c r="M21" s="3"/>
      <c r="N21" s="25" t="str">
        <f>HYPERLINK("http://slimages.macys.com/is/image/MCY/20056989 ")</f>
        <v xml:space="preserve">http://slimages.macys.com/is/image/MCY/20056989 </v>
      </c>
    </row>
    <row r="22" spans="1:14" x14ac:dyDescent="0.25">
      <c r="A22" s="4" t="s">
        <v>453</v>
      </c>
      <c r="B22" s="3" t="s">
        <v>454</v>
      </c>
      <c r="C22" s="2">
        <v>38</v>
      </c>
      <c r="D22" s="24">
        <v>5.6</v>
      </c>
      <c r="E22" s="24">
        <v>212.8</v>
      </c>
      <c r="F22" s="2">
        <v>100117216</v>
      </c>
      <c r="G22" s="3" t="s">
        <v>205</v>
      </c>
      <c r="H22" s="4" t="s">
        <v>87</v>
      </c>
      <c r="I22" s="3" t="s">
        <v>11</v>
      </c>
      <c r="J22" s="3" t="s">
        <v>427</v>
      </c>
      <c r="K22" s="3" t="s">
        <v>428</v>
      </c>
      <c r="L22" s="3"/>
      <c r="M22" s="3"/>
      <c r="N22" s="25" t="str">
        <f>HYPERLINK("http://slimages.macys.com/is/image/MCY/20549906 ")</f>
        <v xml:space="preserve">http://slimages.macys.com/is/image/MCY/20549906 </v>
      </c>
    </row>
    <row r="23" spans="1:14" x14ac:dyDescent="0.25">
      <c r="A23" s="4" t="s">
        <v>3678</v>
      </c>
      <c r="B23" s="3" t="s">
        <v>3679</v>
      </c>
      <c r="C23" s="2">
        <v>1</v>
      </c>
      <c r="D23" s="24">
        <v>40</v>
      </c>
      <c r="E23" s="24">
        <v>40</v>
      </c>
      <c r="F23" s="2">
        <v>100144255</v>
      </c>
      <c r="G23" s="3" t="s">
        <v>124</v>
      </c>
      <c r="H23" s="4" t="s">
        <v>87</v>
      </c>
      <c r="I23" s="3" t="s">
        <v>11</v>
      </c>
      <c r="J23" s="3" t="s">
        <v>427</v>
      </c>
      <c r="K23" s="3" t="s">
        <v>428</v>
      </c>
      <c r="L23" s="3"/>
      <c r="M23" s="3"/>
      <c r="N23" s="25" t="str">
        <f>HYPERLINK("http://slimages.macys.com/is/image/MCY/21001417 ")</f>
        <v xml:space="preserve">http://slimages.macys.com/is/image/MCY/21001417 </v>
      </c>
    </row>
    <row r="24" spans="1:14" x14ac:dyDescent="0.25">
      <c r="A24" s="4" t="s">
        <v>783</v>
      </c>
      <c r="B24" s="3" t="s">
        <v>784</v>
      </c>
      <c r="C24" s="2">
        <v>1</v>
      </c>
      <c r="D24" s="24">
        <v>40</v>
      </c>
      <c r="E24" s="24">
        <v>40</v>
      </c>
      <c r="F24" s="2">
        <v>100131763</v>
      </c>
      <c r="G24" s="3" t="s">
        <v>31</v>
      </c>
      <c r="H24" s="4" t="s">
        <v>40</v>
      </c>
      <c r="I24" s="3" t="s">
        <v>11</v>
      </c>
      <c r="J24" s="3" t="s">
        <v>427</v>
      </c>
      <c r="K24" s="3" t="s">
        <v>428</v>
      </c>
      <c r="L24" s="3"/>
      <c r="M24" s="3"/>
      <c r="N24" s="25" t="str">
        <f>HYPERLINK("http://slimages.macys.com/is/image/MCY/19413022 ")</f>
        <v xml:space="preserve">http://slimages.macys.com/is/image/MCY/19413022 </v>
      </c>
    </row>
    <row r="25" spans="1:14" x14ac:dyDescent="0.25">
      <c r="A25" s="4" t="s">
        <v>1357</v>
      </c>
      <c r="B25" s="3" t="s">
        <v>1358</v>
      </c>
      <c r="C25" s="2">
        <v>1</v>
      </c>
      <c r="D25" s="24">
        <v>40</v>
      </c>
      <c r="E25" s="24">
        <v>40</v>
      </c>
      <c r="F25" s="2">
        <v>100131763</v>
      </c>
      <c r="G25" s="3" t="s">
        <v>31</v>
      </c>
      <c r="H25" s="4" t="s">
        <v>87</v>
      </c>
      <c r="I25" s="3" t="s">
        <v>11</v>
      </c>
      <c r="J25" s="3" t="s">
        <v>427</v>
      </c>
      <c r="K25" s="3" t="s">
        <v>428</v>
      </c>
      <c r="L25" s="3"/>
      <c r="M25" s="3"/>
      <c r="N25" s="25" t="str">
        <f>HYPERLINK("http://slimages.macys.com/is/image/MCY/19413022 ")</f>
        <v xml:space="preserve">http://slimages.macys.com/is/image/MCY/19413022 </v>
      </c>
    </row>
    <row r="26" spans="1:14" x14ac:dyDescent="0.25">
      <c r="A26" s="4" t="s">
        <v>3377</v>
      </c>
      <c r="B26" s="3" t="s">
        <v>3378</v>
      </c>
      <c r="C26" s="2">
        <v>4</v>
      </c>
      <c r="D26" s="24">
        <v>24.99</v>
      </c>
      <c r="E26" s="24">
        <v>99.96</v>
      </c>
      <c r="F26" s="2" t="s">
        <v>3372</v>
      </c>
      <c r="G26" s="3" t="s">
        <v>78</v>
      </c>
      <c r="H26" s="4" t="s">
        <v>286</v>
      </c>
      <c r="I26" s="3" t="s">
        <v>11</v>
      </c>
      <c r="J26" s="3" t="s">
        <v>266</v>
      </c>
      <c r="K26" s="3" t="s">
        <v>267</v>
      </c>
      <c r="L26" s="3"/>
      <c r="M26" s="3"/>
      <c r="N26" s="25" t="str">
        <f>HYPERLINK("http://slimages.macys.com/is/image/MCY/20226709 ")</f>
        <v xml:space="preserve">http://slimages.macys.com/is/image/MCY/20226709 </v>
      </c>
    </row>
    <row r="27" spans="1:14" x14ac:dyDescent="0.25">
      <c r="A27" s="4" t="s">
        <v>3666</v>
      </c>
      <c r="B27" s="3" t="s">
        <v>3667</v>
      </c>
      <c r="C27" s="2">
        <v>1</v>
      </c>
      <c r="D27" s="24">
        <v>37.99</v>
      </c>
      <c r="E27" s="24">
        <v>37.99</v>
      </c>
      <c r="F27" s="2" t="s">
        <v>3611</v>
      </c>
      <c r="G27" s="3" t="s">
        <v>122</v>
      </c>
      <c r="H27" s="4" t="s">
        <v>40</v>
      </c>
      <c r="I27" s="3" t="s">
        <v>11</v>
      </c>
      <c r="J27" s="3" t="s">
        <v>266</v>
      </c>
      <c r="K27" s="3" t="s">
        <v>267</v>
      </c>
      <c r="L27" s="3"/>
      <c r="M27" s="3"/>
      <c r="N27" s="25" t="str">
        <f>HYPERLINK("http://slimages.macys.com/is/image/MCY/20325713 ")</f>
        <v xml:space="preserve">http://slimages.macys.com/is/image/MCY/20325713 </v>
      </c>
    </row>
    <row r="28" spans="1:14" x14ac:dyDescent="0.25">
      <c r="A28" s="4" t="s">
        <v>3668</v>
      </c>
      <c r="B28" s="3" t="s">
        <v>3669</v>
      </c>
      <c r="C28" s="2">
        <v>1</v>
      </c>
      <c r="D28" s="24">
        <v>16.989999999999998</v>
      </c>
      <c r="E28" s="24">
        <v>16.989999999999998</v>
      </c>
      <c r="F28" s="2" t="s">
        <v>3639</v>
      </c>
      <c r="G28" s="3" t="s">
        <v>83</v>
      </c>
      <c r="H28" s="4" t="s">
        <v>87</v>
      </c>
      <c r="I28" s="3" t="s">
        <v>11</v>
      </c>
      <c r="J28" s="3" t="s">
        <v>266</v>
      </c>
      <c r="K28" s="3" t="s">
        <v>267</v>
      </c>
      <c r="L28" s="3"/>
      <c r="M28" s="3"/>
      <c r="N28" s="25" t="str">
        <f>HYPERLINK("http://slimages.macys.com/is/image/MCY/20584798 ")</f>
        <v xml:space="preserve">http://slimages.macys.com/is/image/MCY/20584798 </v>
      </c>
    </row>
    <row r="29" spans="1:14" x14ac:dyDescent="0.25">
      <c r="A29" s="4" t="s">
        <v>3344</v>
      </c>
      <c r="B29" s="3" t="s">
        <v>3345</v>
      </c>
      <c r="C29" s="2">
        <v>1</v>
      </c>
      <c r="D29" s="24">
        <v>40.99</v>
      </c>
      <c r="E29" s="24">
        <v>40.99</v>
      </c>
      <c r="F29" s="2" t="s">
        <v>3343</v>
      </c>
      <c r="G29" s="3" t="s">
        <v>86</v>
      </c>
      <c r="H29" s="4" t="s">
        <v>286</v>
      </c>
      <c r="I29" s="3" t="s">
        <v>11</v>
      </c>
      <c r="J29" s="3" t="s">
        <v>266</v>
      </c>
      <c r="K29" s="3" t="s">
        <v>267</v>
      </c>
      <c r="L29" s="3"/>
      <c r="M29" s="3"/>
      <c r="N29" s="25" t="str">
        <f>HYPERLINK("http://slimages.macys.com/is/image/MCY/20226828 ")</f>
        <v xml:space="preserve">http://slimages.macys.com/is/image/MCY/20226828 </v>
      </c>
    </row>
    <row r="30" spans="1:14" x14ac:dyDescent="0.25">
      <c r="A30" s="4" t="s">
        <v>3664</v>
      </c>
      <c r="B30" s="3" t="s">
        <v>3665</v>
      </c>
      <c r="C30" s="2">
        <v>1</v>
      </c>
      <c r="D30" s="24">
        <v>37.99</v>
      </c>
      <c r="E30" s="24">
        <v>37.99</v>
      </c>
      <c r="F30" s="2" t="s">
        <v>3356</v>
      </c>
      <c r="G30" s="3" t="s">
        <v>122</v>
      </c>
      <c r="H30" s="4" t="s">
        <v>40</v>
      </c>
      <c r="I30" s="3" t="s">
        <v>11</v>
      </c>
      <c r="J30" s="3" t="s">
        <v>266</v>
      </c>
      <c r="K30" s="3" t="s">
        <v>267</v>
      </c>
      <c r="L30" s="3"/>
      <c r="M30" s="3"/>
      <c r="N30" s="25" t="str">
        <f>HYPERLINK("http://slimages.macys.com/is/image/MCY/1043887 ")</f>
        <v xml:space="preserve">http://slimages.macys.com/is/image/MCY/1043887 </v>
      </c>
    </row>
    <row r="31" spans="1:14" x14ac:dyDescent="0.25">
      <c r="A31" s="4" t="s">
        <v>3661</v>
      </c>
      <c r="B31" s="3" t="s">
        <v>3662</v>
      </c>
      <c r="C31" s="2">
        <v>1</v>
      </c>
      <c r="D31" s="24">
        <v>32.99</v>
      </c>
      <c r="E31" s="24">
        <v>32.99</v>
      </c>
      <c r="F31" s="2" t="s">
        <v>3663</v>
      </c>
      <c r="G31" s="3" t="s">
        <v>31</v>
      </c>
      <c r="H31" s="4" t="s">
        <v>286</v>
      </c>
      <c r="I31" s="3" t="s">
        <v>11</v>
      </c>
      <c r="J31" s="3" t="s">
        <v>266</v>
      </c>
      <c r="K31" s="3" t="s">
        <v>267</v>
      </c>
      <c r="L31" s="3"/>
      <c r="M31" s="3"/>
      <c r="N31" s="25" t="str">
        <f>HYPERLINK("http://slimages.macys.com/is/image/MCY/20226007 ")</f>
        <v xml:space="preserve">http://slimages.macys.com/is/image/MCY/20226007 </v>
      </c>
    </row>
    <row r="32" spans="1:14" x14ac:dyDescent="0.25">
      <c r="A32" s="4" t="s">
        <v>3691</v>
      </c>
      <c r="B32" s="3" t="s">
        <v>3692</v>
      </c>
      <c r="C32" s="2">
        <v>1</v>
      </c>
      <c r="D32" s="24">
        <v>26.11</v>
      </c>
      <c r="E32" s="24">
        <v>26.11</v>
      </c>
      <c r="F32" s="2" t="s">
        <v>3693</v>
      </c>
      <c r="G32" s="3" t="s">
        <v>122</v>
      </c>
      <c r="H32" s="4" t="s">
        <v>40</v>
      </c>
      <c r="I32" s="3" t="s">
        <v>11</v>
      </c>
      <c r="J32" s="3" t="s">
        <v>343</v>
      </c>
      <c r="K32" s="3" t="s">
        <v>3694</v>
      </c>
      <c r="L32" s="3"/>
      <c r="M32" s="3"/>
      <c r="N32" s="25"/>
    </row>
    <row r="33" spans="1:14" x14ac:dyDescent="0.25">
      <c r="A33" s="4" t="s">
        <v>3673</v>
      </c>
      <c r="B33" s="3" t="s">
        <v>3674</v>
      </c>
      <c r="C33" s="2">
        <v>1</v>
      </c>
      <c r="D33" s="24">
        <v>27.6</v>
      </c>
      <c r="E33" s="24">
        <v>27.6</v>
      </c>
      <c r="F33" s="2" t="s">
        <v>3675</v>
      </c>
      <c r="G33" s="3" t="s">
        <v>139</v>
      </c>
      <c r="H33" s="4" t="s">
        <v>40</v>
      </c>
      <c r="I33" s="3" t="s">
        <v>11</v>
      </c>
      <c r="J33" s="3" t="s">
        <v>343</v>
      </c>
      <c r="K33" s="3" t="s">
        <v>379</v>
      </c>
      <c r="L33" s="3"/>
      <c r="M33" s="3"/>
      <c r="N33" s="25" t="str">
        <f>HYPERLINK("http://slimages.macys.com/is/image/MCY/18830345 ")</f>
        <v xml:space="preserve">http://slimages.macys.com/is/image/MCY/18830345 </v>
      </c>
    </row>
    <row r="34" spans="1:14" x14ac:dyDescent="0.25">
      <c r="A34" s="4" t="s">
        <v>3643</v>
      </c>
      <c r="B34" s="3" t="s">
        <v>3644</v>
      </c>
      <c r="C34" s="2">
        <v>1</v>
      </c>
      <c r="D34" s="24">
        <v>8.9600000000000009</v>
      </c>
      <c r="E34" s="24">
        <v>8.9600000000000009</v>
      </c>
      <c r="F34" s="2" t="s">
        <v>3645</v>
      </c>
      <c r="G34" s="3" t="s">
        <v>3320</v>
      </c>
      <c r="H34" s="4" t="s">
        <v>3321</v>
      </c>
      <c r="I34" s="3" t="s">
        <v>11</v>
      </c>
      <c r="J34" s="3" t="s">
        <v>130</v>
      </c>
      <c r="K34" s="3" t="s">
        <v>3322</v>
      </c>
      <c r="L34" s="3"/>
      <c r="M34" s="3"/>
      <c r="N34" s="25"/>
    </row>
  </sheetData>
  <sortState ref="A2:N34">
    <sortCondition ref="B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0"/>
  <sheetViews>
    <sheetView workbookViewId="0">
      <selection activeCell="D14" sqref="D14"/>
    </sheetView>
  </sheetViews>
  <sheetFormatPr defaultColWidth="106.5703125" defaultRowHeight="15" x14ac:dyDescent="0.25"/>
  <cols>
    <col min="1" max="1" width="14.140625" style="12" bestFit="1" customWidth="1"/>
    <col min="2" max="2" width="66" style="12" bestFit="1" customWidth="1"/>
    <col min="3" max="3" width="12.42578125" style="12" bestFit="1" customWidth="1"/>
    <col min="4" max="4" width="15" style="12" bestFit="1" customWidth="1"/>
    <col min="5" max="5" width="21" style="12" bestFit="1" customWidth="1"/>
    <col min="6" max="6" width="21.7109375" style="12" bestFit="1" customWidth="1"/>
    <col min="7" max="7" width="13.140625" style="12" bestFit="1" customWidth="1"/>
    <col min="8" max="8" width="11.140625" style="12" bestFit="1" customWidth="1"/>
    <col min="9" max="9" width="8.140625" style="12" bestFit="1" customWidth="1"/>
    <col min="10" max="10" width="17.5703125" style="12" bestFit="1" customWidth="1"/>
    <col min="11" max="11" width="39.5703125" style="12" bestFit="1" customWidth="1"/>
    <col min="12" max="12" width="48.140625" style="12" bestFit="1" customWidth="1"/>
    <col min="13" max="16384" width="106.5703125" style="12"/>
  </cols>
  <sheetData>
    <row r="1" spans="1:12" x14ac:dyDescent="0.25">
      <c r="A1" s="1" t="s">
        <v>12</v>
      </c>
      <c r="B1" s="1" t="s">
        <v>13</v>
      </c>
      <c r="C1" s="1" t="s">
        <v>14</v>
      </c>
      <c r="D1" s="1" t="s">
        <v>5</v>
      </c>
      <c r="E1" s="1" t="s">
        <v>9</v>
      </c>
      <c r="F1" s="1" t="s">
        <v>15</v>
      </c>
      <c r="G1" s="1" t="s">
        <v>16</v>
      </c>
      <c r="H1" s="1" t="s">
        <v>17</v>
      </c>
      <c r="I1" s="1" t="s">
        <v>10</v>
      </c>
      <c r="J1" s="1" t="s">
        <v>18</v>
      </c>
      <c r="K1" s="1" t="s">
        <v>19</v>
      </c>
      <c r="L1" s="1" t="s">
        <v>22</v>
      </c>
    </row>
    <row r="2" spans="1:12" x14ac:dyDescent="0.25">
      <c r="A2" s="19" t="s">
        <v>3942</v>
      </c>
      <c r="B2" s="13" t="s">
        <v>3943</v>
      </c>
      <c r="C2" s="8">
        <v>2</v>
      </c>
      <c r="D2" s="9">
        <v>36.99</v>
      </c>
      <c r="E2" s="9">
        <v>73.98</v>
      </c>
      <c r="F2" s="8" t="s">
        <v>3838</v>
      </c>
      <c r="G2" s="13" t="s">
        <v>86</v>
      </c>
      <c r="H2" s="19" t="s">
        <v>32</v>
      </c>
      <c r="I2" s="13" t="s">
        <v>11</v>
      </c>
      <c r="J2" s="13" t="s">
        <v>28</v>
      </c>
      <c r="K2" s="13" t="s">
        <v>29</v>
      </c>
      <c r="L2" s="20" t="str">
        <f>HYPERLINK("http://slimages.macys.com/is/image/MCY/20849785 ")</f>
        <v xml:space="preserve">http://slimages.macys.com/is/image/MCY/20849785 </v>
      </c>
    </row>
    <row r="3" spans="1:12" x14ac:dyDescent="0.25">
      <c r="A3" s="19" t="s">
        <v>3955</v>
      </c>
      <c r="B3" s="13" t="s">
        <v>3956</v>
      </c>
      <c r="C3" s="8">
        <v>1</v>
      </c>
      <c r="D3" s="9">
        <v>32.99</v>
      </c>
      <c r="E3" s="9">
        <v>32.99</v>
      </c>
      <c r="F3" s="8" t="s">
        <v>1867</v>
      </c>
      <c r="G3" s="13" t="s">
        <v>85</v>
      </c>
      <c r="H3" s="19" t="s">
        <v>27</v>
      </c>
      <c r="I3" s="13" t="s">
        <v>11</v>
      </c>
      <c r="J3" s="13" t="s">
        <v>28</v>
      </c>
      <c r="K3" s="13" t="s">
        <v>29</v>
      </c>
      <c r="L3" s="20" t="str">
        <f>HYPERLINK("http://slimages.macys.com/is/image/MCY/19788674 ")</f>
        <v xml:space="preserve">http://slimages.macys.com/is/image/MCY/19788674 </v>
      </c>
    </row>
    <row r="4" spans="1:12" x14ac:dyDescent="0.25">
      <c r="A4" s="19" t="s">
        <v>3700</v>
      </c>
      <c r="B4" s="13" t="s">
        <v>3701</v>
      </c>
      <c r="C4" s="8">
        <v>1</v>
      </c>
      <c r="D4" s="9">
        <v>32.99</v>
      </c>
      <c r="E4" s="9">
        <v>32.99</v>
      </c>
      <c r="F4" s="8" t="s">
        <v>1867</v>
      </c>
      <c r="G4" s="13" t="s">
        <v>85</v>
      </c>
      <c r="H4" s="19" t="s">
        <v>87</v>
      </c>
      <c r="I4" s="13" t="s">
        <v>11</v>
      </c>
      <c r="J4" s="13" t="s">
        <v>28</v>
      </c>
      <c r="K4" s="13" t="s">
        <v>29</v>
      </c>
      <c r="L4" s="20" t="str">
        <f>HYPERLINK("http://slimages.macys.com/is/image/MCY/19788671 ")</f>
        <v xml:space="preserve">http://slimages.macys.com/is/image/MCY/19788671 </v>
      </c>
    </row>
    <row r="5" spans="1:12" x14ac:dyDescent="0.25">
      <c r="A5" s="19" t="s">
        <v>3704</v>
      </c>
      <c r="B5" s="13" t="s">
        <v>3705</v>
      </c>
      <c r="C5" s="8">
        <v>1</v>
      </c>
      <c r="D5" s="9">
        <v>32.99</v>
      </c>
      <c r="E5" s="9">
        <v>32.99</v>
      </c>
      <c r="F5" s="8" t="s">
        <v>3559</v>
      </c>
      <c r="G5" s="13" t="s">
        <v>85</v>
      </c>
      <c r="H5" s="19" t="s">
        <v>32</v>
      </c>
      <c r="I5" s="13" t="s">
        <v>11</v>
      </c>
      <c r="J5" s="13" t="s">
        <v>28</v>
      </c>
      <c r="K5" s="13" t="s">
        <v>29</v>
      </c>
      <c r="L5" s="20" t="str">
        <f>HYPERLINK("http://slimages.macys.com/is/image/MCY/20342514 ")</f>
        <v xml:space="preserve">http://slimages.macys.com/is/image/MCY/20342514 </v>
      </c>
    </row>
    <row r="6" spans="1:12" x14ac:dyDescent="0.25">
      <c r="A6" s="19" t="s">
        <v>3708</v>
      </c>
      <c r="B6" s="13" t="s">
        <v>3709</v>
      </c>
      <c r="C6" s="8">
        <v>1</v>
      </c>
      <c r="D6" s="9">
        <v>32.99</v>
      </c>
      <c r="E6" s="9">
        <v>32.99</v>
      </c>
      <c r="F6" s="8" t="s">
        <v>3559</v>
      </c>
      <c r="G6" s="13" t="s">
        <v>85</v>
      </c>
      <c r="H6" s="19" t="s">
        <v>27</v>
      </c>
      <c r="I6" s="13" t="s">
        <v>11</v>
      </c>
      <c r="J6" s="13" t="s">
        <v>28</v>
      </c>
      <c r="K6" s="13" t="s">
        <v>29</v>
      </c>
      <c r="L6" s="20" t="str">
        <f>HYPERLINK("http://slimages.macys.com/is/image/MCY/20342521 ")</f>
        <v xml:space="preserve">http://slimages.macys.com/is/image/MCY/20342521 </v>
      </c>
    </row>
    <row r="7" spans="1:12" x14ac:dyDescent="0.25">
      <c r="A7" s="19" t="s">
        <v>3557</v>
      </c>
      <c r="B7" s="13" t="s">
        <v>3558</v>
      </c>
      <c r="C7" s="8">
        <v>1</v>
      </c>
      <c r="D7" s="9">
        <v>32.99</v>
      </c>
      <c r="E7" s="9">
        <v>32.99</v>
      </c>
      <c r="F7" s="8" t="s">
        <v>3559</v>
      </c>
      <c r="G7" s="13" t="s">
        <v>85</v>
      </c>
      <c r="H7" s="19" t="s">
        <v>87</v>
      </c>
      <c r="I7" s="13" t="s">
        <v>11</v>
      </c>
      <c r="J7" s="13" t="s">
        <v>28</v>
      </c>
      <c r="K7" s="13" t="s">
        <v>29</v>
      </c>
      <c r="L7" s="20" t="str">
        <f>HYPERLINK("http://slimages.macys.com/is/image/MCY/1114239 ")</f>
        <v xml:space="preserve">http://slimages.macys.com/is/image/MCY/1114239 </v>
      </c>
    </row>
    <row r="8" spans="1:12" x14ac:dyDescent="0.25">
      <c r="A8" s="19" t="s">
        <v>2068</v>
      </c>
      <c r="B8" s="13" t="s">
        <v>2069</v>
      </c>
      <c r="C8" s="8">
        <v>1</v>
      </c>
      <c r="D8" s="9">
        <v>29.99</v>
      </c>
      <c r="E8" s="9">
        <v>29.99</v>
      </c>
      <c r="F8" s="8" t="s">
        <v>65</v>
      </c>
      <c r="G8" s="13" t="s">
        <v>31</v>
      </c>
      <c r="H8" s="19" t="s">
        <v>32</v>
      </c>
      <c r="I8" s="13" t="s">
        <v>11</v>
      </c>
      <c r="J8" s="13" t="s">
        <v>28</v>
      </c>
      <c r="K8" s="13" t="s">
        <v>29</v>
      </c>
      <c r="L8" s="20" t="str">
        <f>HYPERLINK("http://slimages.macys.com/is/image/MCY/18468745 ")</f>
        <v xml:space="preserve">http://slimages.macys.com/is/image/MCY/18468745 </v>
      </c>
    </row>
    <row r="9" spans="1:12" x14ac:dyDescent="0.25">
      <c r="A9" s="19" t="s">
        <v>2984</v>
      </c>
      <c r="B9" s="13" t="s">
        <v>2985</v>
      </c>
      <c r="C9" s="8">
        <v>1</v>
      </c>
      <c r="D9" s="9">
        <v>29.99</v>
      </c>
      <c r="E9" s="9">
        <v>29.99</v>
      </c>
      <c r="F9" s="8" t="s">
        <v>65</v>
      </c>
      <c r="G9" s="13" t="s">
        <v>31</v>
      </c>
      <c r="H9" s="19" t="s">
        <v>40</v>
      </c>
      <c r="I9" s="13" t="s">
        <v>11</v>
      </c>
      <c r="J9" s="13" t="s">
        <v>28</v>
      </c>
      <c r="K9" s="13" t="s">
        <v>29</v>
      </c>
      <c r="L9" s="20" t="str">
        <f>HYPERLINK("http://slimages.macys.com/is/image/MCY/18468745 ")</f>
        <v xml:space="preserve">http://slimages.macys.com/is/image/MCY/18468745 </v>
      </c>
    </row>
    <row r="10" spans="1:12" x14ac:dyDescent="0.25">
      <c r="A10" s="19" t="s">
        <v>2066</v>
      </c>
      <c r="B10" s="13" t="s">
        <v>2067</v>
      </c>
      <c r="C10" s="8">
        <v>1</v>
      </c>
      <c r="D10" s="9">
        <v>29.99</v>
      </c>
      <c r="E10" s="9">
        <v>29.99</v>
      </c>
      <c r="F10" s="8" t="s">
        <v>65</v>
      </c>
      <c r="G10" s="13" t="s">
        <v>31</v>
      </c>
      <c r="H10" s="19" t="s">
        <v>27</v>
      </c>
      <c r="I10" s="13" t="s">
        <v>11</v>
      </c>
      <c r="J10" s="13" t="s">
        <v>28</v>
      </c>
      <c r="K10" s="13" t="s">
        <v>29</v>
      </c>
      <c r="L10" s="20" t="str">
        <f>HYPERLINK("http://slimages.macys.com/is/image/MCY/18468745 ")</f>
        <v xml:space="preserve">http://slimages.macys.com/is/image/MCY/18468745 </v>
      </c>
    </row>
    <row r="11" spans="1:12" x14ac:dyDescent="0.25">
      <c r="A11" s="19" t="s">
        <v>2095</v>
      </c>
      <c r="B11" s="13" t="s">
        <v>2096</v>
      </c>
      <c r="C11" s="8">
        <v>1</v>
      </c>
      <c r="D11" s="9">
        <v>32.99</v>
      </c>
      <c r="E11" s="9">
        <v>32.99</v>
      </c>
      <c r="F11" s="8" t="s">
        <v>2097</v>
      </c>
      <c r="G11" s="13" t="s">
        <v>488</v>
      </c>
      <c r="H11" s="19" t="s">
        <v>87</v>
      </c>
      <c r="I11" s="13" t="s">
        <v>11</v>
      </c>
      <c r="J11" s="13" t="s">
        <v>28</v>
      </c>
      <c r="K11" s="13" t="s">
        <v>29</v>
      </c>
      <c r="L11" s="20" t="str">
        <f>HYPERLINK("http://slimages.macys.com/is/image/MCY/20073686 ")</f>
        <v xml:space="preserve">http://slimages.macys.com/is/image/MCY/20073686 </v>
      </c>
    </row>
    <row r="12" spans="1:12" x14ac:dyDescent="0.25">
      <c r="A12" s="19" t="s">
        <v>3336</v>
      </c>
      <c r="B12" s="13" t="s">
        <v>3337</v>
      </c>
      <c r="C12" s="8">
        <v>1</v>
      </c>
      <c r="D12" s="9">
        <v>26.99</v>
      </c>
      <c r="E12" s="9">
        <v>26.99</v>
      </c>
      <c r="F12" s="8" t="s">
        <v>3329</v>
      </c>
      <c r="G12" s="13" t="s">
        <v>31</v>
      </c>
      <c r="H12" s="19" t="s">
        <v>32</v>
      </c>
      <c r="I12" s="13" t="s">
        <v>11</v>
      </c>
      <c r="J12" s="13" t="s">
        <v>28</v>
      </c>
      <c r="K12" s="13" t="s">
        <v>29</v>
      </c>
      <c r="L12" s="20" t="str">
        <f>HYPERLINK("http://slimages.macys.com/is/image/MCY/19863901 ")</f>
        <v xml:space="preserve">http://slimages.macys.com/is/image/MCY/19863901 </v>
      </c>
    </row>
    <row r="13" spans="1:12" x14ac:dyDescent="0.25">
      <c r="A13" s="19" t="s">
        <v>3334</v>
      </c>
      <c r="B13" s="13" t="s">
        <v>3335</v>
      </c>
      <c r="C13" s="8">
        <v>1</v>
      </c>
      <c r="D13" s="9">
        <v>26.99</v>
      </c>
      <c r="E13" s="9">
        <v>26.99</v>
      </c>
      <c r="F13" s="8" t="s">
        <v>3329</v>
      </c>
      <c r="G13" s="13" t="s">
        <v>31</v>
      </c>
      <c r="H13" s="19" t="s">
        <v>40</v>
      </c>
      <c r="I13" s="13" t="s">
        <v>11</v>
      </c>
      <c r="J13" s="13" t="s">
        <v>28</v>
      </c>
      <c r="K13" s="13" t="s">
        <v>29</v>
      </c>
      <c r="L13" s="20" t="str">
        <f>HYPERLINK("http://slimages.macys.com/is/image/MCY/19863901 ")</f>
        <v xml:space="preserve">http://slimages.macys.com/is/image/MCY/19863901 </v>
      </c>
    </row>
    <row r="14" spans="1:12" x14ac:dyDescent="0.25">
      <c r="A14" s="19" t="s">
        <v>3332</v>
      </c>
      <c r="B14" s="13" t="s">
        <v>3333</v>
      </c>
      <c r="C14" s="8">
        <v>3</v>
      </c>
      <c r="D14" s="9">
        <v>26.99</v>
      </c>
      <c r="E14" s="9">
        <v>80.97</v>
      </c>
      <c r="F14" s="8" t="s">
        <v>3329</v>
      </c>
      <c r="G14" s="13" t="s">
        <v>31</v>
      </c>
      <c r="H14" s="19" t="s">
        <v>55</v>
      </c>
      <c r="I14" s="13" t="s">
        <v>11</v>
      </c>
      <c r="J14" s="13" t="s">
        <v>28</v>
      </c>
      <c r="K14" s="13" t="s">
        <v>29</v>
      </c>
      <c r="L14" s="20" t="str">
        <f>HYPERLINK("http://slimages.macys.com/is/image/MCY/19863901 ")</f>
        <v xml:space="preserve">http://slimages.macys.com/is/image/MCY/19863901 </v>
      </c>
    </row>
    <row r="15" spans="1:12" x14ac:dyDescent="0.25">
      <c r="A15" s="19" t="s">
        <v>3327</v>
      </c>
      <c r="B15" s="13" t="s">
        <v>3328</v>
      </c>
      <c r="C15" s="8">
        <v>2</v>
      </c>
      <c r="D15" s="9">
        <v>26.99</v>
      </c>
      <c r="E15" s="9">
        <v>53.98</v>
      </c>
      <c r="F15" s="8" t="s">
        <v>3329</v>
      </c>
      <c r="G15" s="13" t="s">
        <v>31</v>
      </c>
      <c r="H15" s="19" t="s">
        <v>27</v>
      </c>
      <c r="I15" s="13" t="s">
        <v>11</v>
      </c>
      <c r="J15" s="13" t="s">
        <v>28</v>
      </c>
      <c r="K15" s="13" t="s">
        <v>29</v>
      </c>
      <c r="L15" s="20" t="str">
        <f>HYPERLINK("http://slimages.macys.com/is/image/MCY/19863901 ")</f>
        <v xml:space="preserve">http://slimages.macys.com/is/image/MCY/19863901 </v>
      </c>
    </row>
    <row r="16" spans="1:12" x14ac:dyDescent="0.25">
      <c r="A16" s="19" t="s">
        <v>3330</v>
      </c>
      <c r="B16" s="13" t="s">
        <v>3331</v>
      </c>
      <c r="C16" s="8">
        <v>3</v>
      </c>
      <c r="D16" s="9">
        <v>26.99</v>
      </c>
      <c r="E16" s="9">
        <v>80.97</v>
      </c>
      <c r="F16" s="8" t="s">
        <v>3329</v>
      </c>
      <c r="G16" s="13" t="s">
        <v>31</v>
      </c>
      <c r="H16" s="19" t="s">
        <v>87</v>
      </c>
      <c r="I16" s="13" t="s">
        <v>11</v>
      </c>
      <c r="J16" s="13" t="s">
        <v>28</v>
      </c>
      <c r="K16" s="13" t="s">
        <v>29</v>
      </c>
      <c r="L16" s="20" t="str">
        <f>HYPERLINK("http://slimages.macys.com/is/image/MCY/19863901 ")</f>
        <v xml:space="preserve">http://slimages.macys.com/is/image/MCY/19863901 </v>
      </c>
    </row>
    <row r="17" spans="1:12" x14ac:dyDescent="0.25">
      <c r="A17" s="19" t="s">
        <v>3770</v>
      </c>
      <c r="B17" s="13" t="s">
        <v>3771</v>
      </c>
      <c r="C17" s="8">
        <v>1</v>
      </c>
      <c r="D17" s="9">
        <v>26.99</v>
      </c>
      <c r="E17" s="9">
        <v>26.99</v>
      </c>
      <c r="F17" s="8" t="s">
        <v>3567</v>
      </c>
      <c r="G17" s="13" t="s">
        <v>57</v>
      </c>
      <c r="H17" s="19" t="s">
        <v>27</v>
      </c>
      <c r="I17" s="13" t="s">
        <v>11</v>
      </c>
      <c r="J17" s="13" t="s">
        <v>28</v>
      </c>
      <c r="K17" s="13" t="s">
        <v>29</v>
      </c>
      <c r="L17" s="20" t="str">
        <f>HYPERLINK("http://slimages.macys.com/is/image/MCY/19863892 ")</f>
        <v xml:space="preserve">http://slimages.macys.com/is/image/MCY/19863892 </v>
      </c>
    </row>
    <row r="18" spans="1:12" x14ac:dyDescent="0.25">
      <c r="A18" s="19" t="s">
        <v>3565</v>
      </c>
      <c r="B18" s="13" t="s">
        <v>3566</v>
      </c>
      <c r="C18" s="8">
        <v>6</v>
      </c>
      <c r="D18" s="9">
        <v>26.99</v>
      </c>
      <c r="E18" s="9">
        <v>161.94</v>
      </c>
      <c r="F18" s="8" t="s">
        <v>3567</v>
      </c>
      <c r="G18" s="13" t="s">
        <v>57</v>
      </c>
      <c r="H18" s="19" t="s">
        <v>87</v>
      </c>
      <c r="I18" s="13" t="s">
        <v>11</v>
      </c>
      <c r="J18" s="13" t="s">
        <v>28</v>
      </c>
      <c r="K18" s="13" t="s">
        <v>29</v>
      </c>
      <c r="L18" s="20" t="str">
        <f>HYPERLINK("http://slimages.macys.com/is/image/MCY/19863892 ")</f>
        <v xml:space="preserve">http://slimages.macys.com/is/image/MCY/19863892 </v>
      </c>
    </row>
    <row r="19" spans="1:12" x14ac:dyDescent="0.25">
      <c r="A19" s="19" t="s">
        <v>3992</v>
      </c>
      <c r="B19" s="13" t="s">
        <v>3993</v>
      </c>
      <c r="C19" s="8">
        <v>1</v>
      </c>
      <c r="D19" s="9">
        <v>27.99</v>
      </c>
      <c r="E19" s="9">
        <v>27.99</v>
      </c>
      <c r="F19" s="8" t="s">
        <v>2994</v>
      </c>
      <c r="G19" s="13" t="s">
        <v>62</v>
      </c>
      <c r="H19" s="19" t="s">
        <v>27</v>
      </c>
      <c r="I19" s="13" t="s">
        <v>11</v>
      </c>
      <c r="J19" s="13" t="s">
        <v>28</v>
      </c>
      <c r="K19" s="13" t="s">
        <v>29</v>
      </c>
      <c r="L19" s="20" t="str">
        <f>HYPERLINK("http://slimages.macys.com/is/image/MCY/19485581 ")</f>
        <v xml:space="preserve">http://slimages.macys.com/is/image/MCY/19485581 </v>
      </c>
    </row>
    <row r="20" spans="1:12" x14ac:dyDescent="0.25">
      <c r="A20" s="19" t="s">
        <v>3890</v>
      </c>
      <c r="B20" s="13" t="s">
        <v>3891</v>
      </c>
      <c r="C20" s="8">
        <v>1</v>
      </c>
      <c r="D20" s="9">
        <v>27.99</v>
      </c>
      <c r="E20" s="9">
        <v>27.99</v>
      </c>
      <c r="F20" s="8" t="s">
        <v>589</v>
      </c>
      <c r="G20" s="13" t="s">
        <v>62</v>
      </c>
      <c r="H20" s="19" t="s">
        <v>40</v>
      </c>
      <c r="I20" s="13" t="s">
        <v>11</v>
      </c>
      <c r="J20" s="13" t="s">
        <v>28</v>
      </c>
      <c r="K20" s="13" t="s">
        <v>29</v>
      </c>
      <c r="L20" s="20" t="str">
        <f>HYPERLINK("http://slimages.macys.com/is/image/MCY/19331857 ")</f>
        <v xml:space="preserve">http://slimages.macys.com/is/image/MCY/19331857 </v>
      </c>
    </row>
    <row r="21" spans="1:12" x14ac:dyDescent="0.25">
      <c r="A21" s="19" t="s">
        <v>3560</v>
      </c>
      <c r="B21" s="13" t="s">
        <v>3561</v>
      </c>
      <c r="C21" s="8">
        <v>3</v>
      </c>
      <c r="D21" s="9">
        <v>26.99</v>
      </c>
      <c r="E21" s="9">
        <v>80.97</v>
      </c>
      <c r="F21" s="8" t="s">
        <v>3562</v>
      </c>
      <c r="G21" s="13" t="s">
        <v>488</v>
      </c>
      <c r="H21" s="19" t="s">
        <v>47</v>
      </c>
      <c r="I21" s="13" t="s">
        <v>11</v>
      </c>
      <c r="J21" s="13" t="s">
        <v>28</v>
      </c>
      <c r="K21" s="13" t="s">
        <v>29</v>
      </c>
      <c r="L21" s="20" t="str">
        <f>HYPERLINK("http://slimages.macys.com/is/image/MCY/16479393 ")</f>
        <v xml:space="preserve">http://slimages.macys.com/is/image/MCY/16479393 </v>
      </c>
    </row>
    <row r="22" spans="1:12" x14ac:dyDescent="0.25">
      <c r="A22" s="19" t="s">
        <v>3710</v>
      </c>
      <c r="B22" s="13" t="s">
        <v>3711</v>
      </c>
      <c r="C22" s="8">
        <v>7</v>
      </c>
      <c r="D22" s="9">
        <v>26.99</v>
      </c>
      <c r="E22" s="9">
        <v>188.93</v>
      </c>
      <c r="F22" s="8" t="s">
        <v>3562</v>
      </c>
      <c r="G22" s="13" t="s">
        <v>488</v>
      </c>
      <c r="H22" s="19" t="s">
        <v>87</v>
      </c>
      <c r="I22" s="13" t="s">
        <v>11</v>
      </c>
      <c r="J22" s="13" t="s">
        <v>28</v>
      </c>
      <c r="K22" s="13" t="s">
        <v>29</v>
      </c>
      <c r="L22" s="20" t="str">
        <f>HYPERLINK("http://slimages.macys.com/is/image/MCY/16479393 ")</f>
        <v xml:space="preserve">http://slimages.macys.com/is/image/MCY/16479393 </v>
      </c>
    </row>
    <row r="23" spans="1:12" x14ac:dyDescent="0.25">
      <c r="A23" s="19" t="s">
        <v>1714</v>
      </c>
      <c r="B23" s="13" t="s">
        <v>1715</v>
      </c>
      <c r="C23" s="8">
        <v>2</v>
      </c>
      <c r="D23" s="9">
        <v>34.99</v>
      </c>
      <c r="E23" s="9">
        <v>69.98</v>
      </c>
      <c r="F23" s="8" t="s">
        <v>52</v>
      </c>
      <c r="G23" s="13" t="s">
        <v>31</v>
      </c>
      <c r="H23" s="19" t="s">
        <v>32</v>
      </c>
      <c r="I23" s="13" t="s">
        <v>11</v>
      </c>
      <c r="J23" s="13" t="s">
        <v>28</v>
      </c>
      <c r="K23" s="13" t="s">
        <v>29</v>
      </c>
      <c r="L23" s="20" t="str">
        <f>HYPERLINK("http://slimages.macys.com/is/image/MCY/18574724 ")</f>
        <v xml:space="preserve">http://slimages.macys.com/is/image/MCY/18574724 </v>
      </c>
    </row>
    <row r="24" spans="1:12" x14ac:dyDescent="0.25">
      <c r="A24" s="19" t="s">
        <v>2057</v>
      </c>
      <c r="B24" s="13" t="s">
        <v>2058</v>
      </c>
      <c r="C24" s="8">
        <v>3</v>
      </c>
      <c r="D24" s="9">
        <v>34.99</v>
      </c>
      <c r="E24" s="9">
        <v>104.97</v>
      </c>
      <c r="F24" s="8" t="s">
        <v>52</v>
      </c>
      <c r="G24" s="13" t="s">
        <v>31</v>
      </c>
      <c r="H24" s="19" t="s">
        <v>40</v>
      </c>
      <c r="I24" s="13" t="s">
        <v>11</v>
      </c>
      <c r="J24" s="13" t="s">
        <v>28</v>
      </c>
      <c r="K24" s="13" t="s">
        <v>29</v>
      </c>
      <c r="L24" s="20" t="str">
        <f>HYPERLINK("http://slimages.macys.com/is/image/MCY/18574724 ")</f>
        <v xml:space="preserve">http://slimages.macys.com/is/image/MCY/18574724 </v>
      </c>
    </row>
    <row r="25" spans="1:12" x14ac:dyDescent="0.25">
      <c r="A25" s="19" t="s">
        <v>53</v>
      </c>
      <c r="B25" s="13" t="s">
        <v>54</v>
      </c>
      <c r="C25" s="8">
        <v>4</v>
      </c>
      <c r="D25" s="9">
        <v>34.99</v>
      </c>
      <c r="E25" s="9">
        <v>139.96</v>
      </c>
      <c r="F25" s="8" t="s">
        <v>52</v>
      </c>
      <c r="G25" s="13" t="s">
        <v>31</v>
      </c>
      <c r="H25" s="19" t="s">
        <v>55</v>
      </c>
      <c r="I25" s="13" t="s">
        <v>11</v>
      </c>
      <c r="J25" s="13" t="s">
        <v>28</v>
      </c>
      <c r="K25" s="13" t="s">
        <v>29</v>
      </c>
      <c r="L25" s="20" t="str">
        <f>HYPERLINK("http://slimages.macys.com/is/image/MCY/18574724 ")</f>
        <v xml:space="preserve">http://slimages.macys.com/is/image/MCY/18574724 </v>
      </c>
    </row>
    <row r="26" spans="1:12" x14ac:dyDescent="0.25">
      <c r="A26" s="19" t="s">
        <v>3323</v>
      </c>
      <c r="B26" s="13" t="s">
        <v>3324</v>
      </c>
      <c r="C26" s="8">
        <v>1</v>
      </c>
      <c r="D26" s="9">
        <v>34.99</v>
      </c>
      <c r="E26" s="9">
        <v>34.99</v>
      </c>
      <c r="F26" s="8" t="s">
        <v>52</v>
      </c>
      <c r="G26" s="13" t="s">
        <v>31</v>
      </c>
      <c r="H26" s="19" t="s">
        <v>27</v>
      </c>
      <c r="I26" s="13" t="s">
        <v>11</v>
      </c>
      <c r="J26" s="13" t="s">
        <v>28</v>
      </c>
      <c r="K26" s="13" t="s">
        <v>29</v>
      </c>
      <c r="L26" s="20" t="str">
        <f>HYPERLINK("http://slimages.macys.com/is/image/MCY/18574724 ")</f>
        <v xml:space="preserve">http://slimages.macys.com/is/image/MCY/18574724 </v>
      </c>
    </row>
    <row r="27" spans="1:12" x14ac:dyDescent="0.25">
      <c r="A27" s="19" t="s">
        <v>50</v>
      </c>
      <c r="B27" s="13" t="s">
        <v>51</v>
      </c>
      <c r="C27" s="8">
        <v>3</v>
      </c>
      <c r="D27" s="9">
        <v>34.99</v>
      </c>
      <c r="E27" s="9">
        <v>104.97</v>
      </c>
      <c r="F27" s="8" t="s">
        <v>52</v>
      </c>
      <c r="G27" s="13" t="s">
        <v>31</v>
      </c>
      <c r="H27" s="19" t="s">
        <v>47</v>
      </c>
      <c r="I27" s="13" t="s">
        <v>11</v>
      </c>
      <c r="J27" s="13" t="s">
        <v>28</v>
      </c>
      <c r="K27" s="13" t="s">
        <v>29</v>
      </c>
      <c r="L27" s="20" t="str">
        <f>HYPERLINK("http://slimages.macys.com/is/image/MCY/18574724 ")</f>
        <v xml:space="preserve">http://slimages.macys.com/is/image/MCY/18574724 </v>
      </c>
    </row>
    <row r="28" spans="1:12" x14ac:dyDescent="0.25">
      <c r="A28" s="19" t="s">
        <v>3892</v>
      </c>
      <c r="B28" s="13" t="s">
        <v>3893</v>
      </c>
      <c r="C28" s="8">
        <v>1</v>
      </c>
      <c r="D28" s="9">
        <v>26.11</v>
      </c>
      <c r="E28" s="9">
        <v>26.11</v>
      </c>
      <c r="F28" s="8" t="s">
        <v>600</v>
      </c>
      <c r="G28" s="13" t="s">
        <v>57</v>
      </c>
      <c r="H28" s="19" t="s">
        <v>55</v>
      </c>
      <c r="I28" s="13" t="s">
        <v>11</v>
      </c>
      <c r="J28" s="13" t="s">
        <v>28</v>
      </c>
      <c r="K28" s="13" t="s">
        <v>29</v>
      </c>
      <c r="L28" s="20" t="str">
        <f>HYPERLINK("http://slimages.macys.com/is/image/MCY/19701310 ")</f>
        <v xml:space="preserve">http://slimages.macys.com/is/image/MCY/19701310 </v>
      </c>
    </row>
    <row r="29" spans="1:12" x14ac:dyDescent="0.25">
      <c r="A29" s="19" t="s">
        <v>3570</v>
      </c>
      <c r="B29" s="13" t="s">
        <v>3571</v>
      </c>
      <c r="C29" s="8">
        <v>1</v>
      </c>
      <c r="D29" s="9">
        <v>21.99</v>
      </c>
      <c r="E29" s="9">
        <v>21.99</v>
      </c>
      <c r="F29" s="8" t="s">
        <v>600</v>
      </c>
      <c r="G29" s="13" t="s">
        <v>57</v>
      </c>
      <c r="H29" s="19" t="s">
        <v>27</v>
      </c>
      <c r="I29" s="13" t="s">
        <v>11</v>
      </c>
      <c r="J29" s="13" t="s">
        <v>28</v>
      </c>
      <c r="K29" s="13" t="s">
        <v>29</v>
      </c>
      <c r="L29" s="20" t="str">
        <f>HYPERLINK("http://slimages.macys.com/is/image/MCY/19711779 ")</f>
        <v xml:space="preserve">http://slimages.macys.com/is/image/MCY/19711779 </v>
      </c>
    </row>
    <row r="30" spans="1:12" x14ac:dyDescent="0.25">
      <c r="A30" s="19" t="s">
        <v>3957</v>
      </c>
      <c r="B30" s="13" t="s">
        <v>3958</v>
      </c>
      <c r="C30" s="8">
        <v>2</v>
      </c>
      <c r="D30" s="9">
        <v>21.99</v>
      </c>
      <c r="E30" s="9">
        <v>43.98</v>
      </c>
      <c r="F30" s="8" t="s">
        <v>600</v>
      </c>
      <c r="G30" s="13" t="s">
        <v>57</v>
      </c>
      <c r="H30" s="19" t="s">
        <v>47</v>
      </c>
      <c r="I30" s="13" t="s">
        <v>11</v>
      </c>
      <c r="J30" s="13" t="s">
        <v>28</v>
      </c>
      <c r="K30" s="13" t="s">
        <v>29</v>
      </c>
      <c r="L30" s="20" t="str">
        <f>HYPERLINK("http://slimages.macys.com/is/image/MCY/19711779 ")</f>
        <v xml:space="preserve">http://slimages.macys.com/is/image/MCY/19711779 </v>
      </c>
    </row>
    <row r="31" spans="1:12" x14ac:dyDescent="0.25">
      <c r="A31" s="19" t="s">
        <v>3572</v>
      </c>
      <c r="B31" s="13" t="s">
        <v>3573</v>
      </c>
      <c r="C31" s="8">
        <v>3</v>
      </c>
      <c r="D31" s="9">
        <v>21.99</v>
      </c>
      <c r="E31" s="9">
        <v>65.97</v>
      </c>
      <c r="F31" s="8" t="s">
        <v>600</v>
      </c>
      <c r="G31" s="13" t="s">
        <v>57</v>
      </c>
      <c r="H31" s="19" t="s">
        <v>87</v>
      </c>
      <c r="I31" s="13" t="s">
        <v>11</v>
      </c>
      <c r="J31" s="13" t="s">
        <v>28</v>
      </c>
      <c r="K31" s="13" t="s">
        <v>29</v>
      </c>
      <c r="L31" s="20" t="str">
        <f>HYPERLINK("http://slimages.macys.com/is/image/MCY/19711779 ")</f>
        <v xml:space="preserve">http://slimages.macys.com/is/image/MCY/19711779 </v>
      </c>
    </row>
    <row r="32" spans="1:12" x14ac:dyDescent="0.25">
      <c r="A32" s="19" t="s">
        <v>3985</v>
      </c>
      <c r="B32" s="13" t="s">
        <v>3986</v>
      </c>
      <c r="C32" s="8">
        <v>1</v>
      </c>
      <c r="D32" s="9">
        <v>49.99</v>
      </c>
      <c r="E32" s="9">
        <v>49.99</v>
      </c>
      <c r="F32" s="8" t="s">
        <v>908</v>
      </c>
      <c r="G32" s="13" t="s">
        <v>488</v>
      </c>
      <c r="H32" s="19" t="s">
        <v>47</v>
      </c>
      <c r="I32" s="13" t="s">
        <v>11</v>
      </c>
      <c r="J32" s="13" t="s">
        <v>28</v>
      </c>
      <c r="K32" s="13" t="s">
        <v>29</v>
      </c>
      <c r="L32" s="20" t="str">
        <f>HYPERLINK("http://slimages.macys.com/is/image/MCY/19339137 ")</f>
        <v xml:space="preserve">http://slimages.macys.com/is/image/MCY/19339137 </v>
      </c>
    </row>
    <row r="33" spans="1:12" x14ac:dyDescent="0.25">
      <c r="A33" s="19" t="s">
        <v>93</v>
      </c>
      <c r="B33" s="13" t="s">
        <v>94</v>
      </c>
      <c r="C33" s="8">
        <v>2</v>
      </c>
      <c r="D33" s="9">
        <v>36.99</v>
      </c>
      <c r="E33" s="9">
        <v>73.98</v>
      </c>
      <c r="F33" s="8" t="s">
        <v>95</v>
      </c>
      <c r="G33" s="13" t="s">
        <v>86</v>
      </c>
      <c r="H33" s="19" t="s">
        <v>27</v>
      </c>
      <c r="I33" s="13" t="s">
        <v>11</v>
      </c>
      <c r="J33" s="13" t="s">
        <v>28</v>
      </c>
      <c r="K33" s="13" t="s">
        <v>29</v>
      </c>
      <c r="L33" s="20" t="str">
        <f>HYPERLINK("http://slimages.macys.com/is/image/MCY/18468763 ")</f>
        <v xml:space="preserve">http://slimages.macys.com/is/image/MCY/18468763 </v>
      </c>
    </row>
    <row r="34" spans="1:12" x14ac:dyDescent="0.25">
      <c r="A34" s="19" t="s">
        <v>3983</v>
      </c>
      <c r="B34" s="13" t="s">
        <v>3984</v>
      </c>
      <c r="C34" s="8">
        <v>2</v>
      </c>
      <c r="D34" s="9">
        <v>44.99</v>
      </c>
      <c r="E34" s="9">
        <v>89.98</v>
      </c>
      <c r="F34" s="8" t="s">
        <v>3941</v>
      </c>
      <c r="G34" s="13" t="s">
        <v>76</v>
      </c>
      <c r="H34" s="19" t="s">
        <v>40</v>
      </c>
      <c r="I34" s="13" t="s">
        <v>11</v>
      </c>
      <c r="J34" s="13" t="s">
        <v>28</v>
      </c>
      <c r="K34" s="13" t="s">
        <v>29</v>
      </c>
      <c r="L34" s="20" t="str">
        <f>HYPERLINK("http://slimages.macys.com/is/image/MCY/21126168 ")</f>
        <v xml:space="preserve">http://slimages.macys.com/is/image/MCY/21126168 </v>
      </c>
    </row>
    <row r="35" spans="1:12" x14ac:dyDescent="0.25">
      <c r="A35" s="19" t="s">
        <v>3981</v>
      </c>
      <c r="B35" s="13" t="s">
        <v>3982</v>
      </c>
      <c r="C35" s="8">
        <v>1</v>
      </c>
      <c r="D35" s="9">
        <v>44.99</v>
      </c>
      <c r="E35" s="9">
        <v>44.99</v>
      </c>
      <c r="F35" s="8" t="s">
        <v>3941</v>
      </c>
      <c r="G35" s="13" t="s">
        <v>76</v>
      </c>
      <c r="H35" s="19" t="s">
        <v>47</v>
      </c>
      <c r="I35" s="13" t="s">
        <v>11</v>
      </c>
      <c r="J35" s="13" t="s">
        <v>28</v>
      </c>
      <c r="K35" s="13" t="s">
        <v>29</v>
      </c>
      <c r="L35" s="20" t="str">
        <f>HYPERLINK("http://slimages.macys.com/is/image/MCY/21126164 ")</f>
        <v xml:space="preserve">http://slimages.macys.com/is/image/MCY/21126164 </v>
      </c>
    </row>
    <row r="36" spans="1:12" x14ac:dyDescent="0.25">
      <c r="A36" s="19" t="s">
        <v>3950</v>
      </c>
      <c r="B36" s="13" t="s">
        <v>3951</v>
      </c>
      <c r="C36" s="8">
        <v>2</v>
      </c>
      <c r="D36" s="9">
        <v>32.99</v>
      </c>
      <c r="E36" s="9">
        <v>65.98</v>
      </c>
      <c r="F36" s="8" t="s">
        <v>3553</v>
      </c>
      <c r="G36" s="13" t="s">
        <v>104</v>
      </c>
      <c r="H36" s="19" t="s">
        <v>32</v>
      </c>
      <c r="I36" s="13" t="s">
        <v>11</v>
      </c>
      <c r="J36" s="13" t="s">
        <v>28</v>
      </c>
      <c r="K36" s="13" t="s">
        <v>29</v>
      </c>
      <c r="L36" s="20" t="str">
        <f>HYPERLINK("http://slimages.macys.com/is/image/MCY/20383425 ")</f>
        <v xml:space="preserve">http://slimages.macys.com/is/image/MCY/20383425 </v>
      </c>
    </row>
    <row r="37" spans="1:12" x14ac:dyDescent="0.25">
      <c r="A37" s="19" t="s">
        <v>3948</v>
      </c>
      <c r="B37" s="13" t="s">
        <v>3949</v>
      </c>
      <c r="C37" s="8">
        <v>1</v>
      </c>
      <c r="D37" s="9">
        <v>26.11</v>
      </c>
      <c r="E37" s="9">
        <v>26.11</v>
      </c>
      <c r="F37" s="8" t="s">
        <v>3553</v>
      </c>
      <c r="G37" s="13" t="s">
        <v>104</v>
      </c>
      <c r="H37" s="19" t="s">
        <v>40</v>
      </c>
      <c r="I37" s="13" t="s">
        <v>11</v>
      </c>
      <c r="J37" s="13" t="s">
        <v>28</v>
      </c>
      <c r="K37" s="13" t="s">
        <v>29</v>
      </c>
      <c r="L37" s="20" t="str">
        <f>HYPERLINK("http://slimages.macys.com/is/image/MCY/20383425 ")</f>
        <v xml:space="preserve">http://slimages.macys.com/is/image/MCY/20383425 </v>
      </c>
    </row>
    <row r="38" spans="1:12" x14ac:dyDescent="0.25">
      <c r="A38" s="19" t="s">
        <v>3551</v>
      </c>
      <c r="B38" s="13" t="s">
        <v>3552</v>
      </c>
      <c r="C38" s="8">
        <v>1</v>
      </c>
      <c r="D38" s="9">
        <v>32.99</v>
      </c>
      <c r="E38" s="9">
        <v>32.99</v>
      </c>
      <c r="F38" s="8" t="s">
        <v>3553</v>
      </c>
      <c r="G38" s="13" t="s">
        <v>104</v>
      </c>
      <c r="H38" s="19" t="s">
        <v>27</v>
      </c>
      <c r="I38" s="13" t="s">
        <v>11</v>
      </c>
      <c r="J38" s="13" t="s">
        <v>28</v>
      </c>
      <c r="K38" s="13" t="s">
        <v>29</v>
      </c>
      <c r="L38" s="20" t="str">
        <f>HYPERLINK("http://slimages.macys.com/is/image/MCY/20383423 ")</f>
        <v xml:space="preserve">http://slimages.macys.com/is/image/MCY/20383423 </v>
      </c>
    </row>
    <row r="39" spans="1:12" x14ac:dyDescent="0.25">
      <c r="A39" s="19" t="s">
        <v>3554</v>
      </c>
      <c r="B39" s="13" t="s">
        <v>3555</v>
      </c>
      <c r="C39" s="8">
        <v>2</v>
      </c>
      <c r="D39" s="9">
        <v>32.99</v>
      </c>
      <c r="E39" s="9">
        <v>65.98</v>
      </c>
      <c r="F39" s="8" t="s">
        <v>3553</v>
      </c>
      <c r="G39" s="13" t="s">
        <v>104</v>
      </c>
      <c r="H39" s="19" t="s">
        <v>87</v>
      </c>
      <c r="I39" s="13" t="s">
        <v>11</v>
      </c>
      <c r="J39" s="13" t="s">
        <v>28</v>
      </c>
      <c r="K39" s="13" t="s">
        <v>29</v>
      </c>
      <c r="L39" s="20" t="str">
        <f>HYPERLINK("http://slimages.macys.com/is/image/MCY/20383423 ")</f>
        <v xml:space="preserve">http://slimages.macys.com/is/image/MCY/20383423 </v>
      </c>
    </row>
    <row r="40" spans="1:12" x14ac:dyDescent="0.25">
      <c r="A40" s="19" t="s">
        <v>3549</v>
      </c>
      <c r="B40" s="13" t="s">
        <v>3550</v>
      </c>
      <c r="C40" s="8">
        <v>1</v>
      </c>
      <c r="D40" s="9">
        <v>32.99</v>
      </c>
      <c r="E40" s="9">
        <v>32.99</v>
      </c>
      <c r="F40" s="8" t="s">
        <v>3548</v>
      </c>
      <c r="G40" s="13" t="s">
        <v>270</v>
      </c>
      <c r="H40" s="19" t="s">
        <v>32</v>
      </c>
      <c r="I40" s="13" t="s">
        <v>11</v>
      </c>
      <c r="J40" s="13" t="s">
        <v>28</v>
      </c>
      <c r="K40" s="13" t="s">
        <v>29</v>
      </c>
      <c r="L40" s="20" t="str">
        <f>HYPERLINK("http://slimages.macys.com/is/image/MCY/20383425 ")</f>
        <v xml:space="preserve">http://slimages.macys.com/is/image/MCY/20383425 </v>
      </c>
    </row>
    <row r="41" spans="1:12" x14ac:dyDescent="0.25">
      <c r="A41" s="19" t="s">
        <v>3546</v>
      </c>
      <c r="B41" s="13" t="s">
        <v>3547</v>
      </c>
      <c r="C41" s="8">
        <v>2</v>
      </c>
      <c r="D41" s="9">
        <v>32.99</v>
      </c>
      <c r="E41" s="9">
        <v>65.98</v>
      </c>
      <c r="F41" s="8" t="s">
        <v>3548</v>
      </c>
      <c r="G41" s="13" t="s">
        <v>270</v>
      </c>
      <c r="H41" s="19" t="s">
        <v>27</v>
      </c>
      <c r="I41" s="13" t="s">
        <v>11</v>
      </c>
      <c r="J41" s="13" t="s">
        <v>28</v>
      </c>
      <c r="K41" s="13" t="s">
        <v>29</v>
      </c>
      <c r="L41" s="20" t="str">
        <f>HYPERLINK("http://slimages.macys.com/is/image/MCY/20383423 ")</f>
        <v xml:space="preserve">http://slimages.macys.com/is/image/MCY/20383423 </v>
      </c>
    </row>
    <row r="42" spans="1:12" x14ac:dyDescent="0.25">
      <c r="A42" s="19" t="s">
        <v>3946</v>
      </c>
      <c r="B42" s="13" t="s">
        <v>3947</v>
      </c>
      <c r="C42" s="8">
        <v>1</v>
      </c>
      <c r="D42" s="9">
        <v>32.99</v>
      </c>
      <c r="E42" s="9">
        <v>32.99</v>
      </c>
      <c r="F42" s="8" t="s">
        <v>3548</v>
      </c>
      <c r="G42" s="13" t="s">
        <v>270</v>
      </c>
      <c r="H42" s="19" t="s">
        <v>87</v>
      </c>
      <c r="I42" s="13" t="s">
        <v>11</v>
      </c>
      <c r="J42" s="13" t="s">
        <v>28</v>
      </c>
      <c r="K42" s="13" t="s">
        <v>29</v>
      </c>
      <c r="L42" s="20" t="str">
        <f>HYPERLINK("http://slimages.macys.com/is/image/MCY/20383423 ")</f>
        <v xml:space="preserve">http://slimages.macys.com/is/image/MCY/20383423 </v>
      </c>
    </row>
    <row r="43" spans="1:12" x14ac:dyDescent="0.25">
      <c r="A43" s="19" t="s">
        <v>924</v>
      </c>
      <c r="B43" s="13" t="s">
        <v>925</v>
      </c>
      <c r="C43" s="8">
        <v>1</v>
      </c>
      <c r="D43" s="9">
        <v>26.99</v>
      </c>
      <c r="E43" s="9">
        <v>26.99</v>
      </c>
      <c r="F43" s="8" t="s">
        <v>923</v>
      </c>
      <c r="G43" s="13" t="s">
        <v>62</v>
      </c>
      <c r="H43" s="19" t="s">
        <v>87</v>
      </c>
      <c r="I43" s="13" t="s">
        <v>11</v>
      </c>
      <c r="J43" s="13" t="s">
        <v>28</v>
      </c>
      <c r="K43" s="13" t="s">
        <v>29</v>
      </c>
      <c r="L43" s="20" t="str">
        <f>HYPERLINK("http://slimages.macys.com/is/image/MCY/19036015 ")</f>
        <v xml:space="preserve">http://slimages.macys.com/is/image/MCY/19036015 </v>
      </c>
    </row>
    <row r="44" spans="1:12" x14ac:dyDescent="0.25">
      <c r="A44" s="19" t="s">
        <v>3884</v>
      </c>
      <c r="B44" s="13" t="s">
        <v>3885</v>
      </c>
      <c r="C44" s="8">
        <v>5</v>
      </c>
      <c r="D44" s="9">
        <v>32.99</v>
      </c>
      <c r="E44" s="9">
        <v>164.95</v>
      </c>
      <c r="F44" s="8" t="s">
        <v>3556</v>
      </c>
      <c r="G44" s="13" t="s">
        <v>104</v>
      </c>
      <c r="H44" s="19" t="s">
        <v>40</v>
      </c>
      <c r="I44" s="13" t="s">
        <v>11</v>
      </c>
      <c r="J44" s="13" t="s">
        <v>28</v>
      </c>
      <c r="K44" s="13" t="s">
        <v>29</v>
      </c>
      <c r="L44" s="20" t="str">
        <f>HYPERLINK("http://slimages.macys.com/is/image/MCY/20849590 ")</f>
        <v xml:space="preserve">http://slimages.macys.com/is/image/MCY/20849590 </v>
      </c>
    </row>
    <row r="45" spans="1:12" x14ac:dyDescent="0.25">
      <c r="A45" s="19" t="s">
        <v>3882</v>
      </c>
      <c r="B45" s="13" t="s">
        <v>3883</v>
      </c>
      <c r="C45" s="8">
        <v>2</v>
      </c>
      <c r="D45" s="9">
        <v>32.99</v>
      </c>
      <c r="E45" s="9">
        <v>65.98</v>
      </c>
      <c r="F45" s="8" t="s">
        <v>3556</v>
      </c>
      <c r="G45" s="13" t="s">
        <v>104</v>
      </c>
      <c r="H45" s="19" t="s">
        <v>27</v>
      </c>
      <c r="I45" s="13" t="s">
        <v>11</v>
      </c>
      <c r="J45" s="13" t="s">
        <v>28</v>
      </c>
      <c r="K45" s="13" t="s">
        <v>29</v>
      </c>
      <c r="L45" s="20" t="str">
        <f>HYPERLINK("http://slimages.macys.com/is/image/MCY/20849590 ")</f>
        <v xml:space="preserve">http://slimages.macys.com/is/image/MCY/20849590 </v>
      </c>
    </row>
    <row r="46" spans="1:12" x14ac:dyDescent="0.25">
      <c r="A46" s="19" t="s">
        <v>3695</v>
      </c>
      <c r="B46" s="13" t="s">
        <v>3696</v>
      </c>
      <c r="C46" s="8">
        <v>1</v>
      </c>
      <c r="D46" s="9">
        <v>32.99</v>
      </c>
      <c r="E46" s="9">
        <v>32.99</v>
      </c>
      <c r="F46" s="8" t="s">
        <v>3556</v>
      </c>
      <c r="G46" s="13" t="s">
        <v>104</v>
      </c>
      <c r="H46" s="19" t="s">
        <v>87</v>
      </c>
      <c r="I46" s="13" t="s">
        <v>11</v>
      </c>
      <c r="J46" s="13" t="s">
        <v>28</v>
      </c>
      <c r="K46" s="13" t="s">
        <v>29</v>
      </c>
      <c r="L46" s="20" t="str">
        <f>HYPERLINK("http://slimages.macys.com/is/image/MCY/20849590 ")</f>
        <v xml:space="preserve">http://slimages.macys.com/is/image/MCY/20849590 </v>
      </c>
    </row>
    <row r="47" spans="1:12" x14ac:dyDescent="0.25">
      <c r="A47" s="19" t="s">
        <v>3325</v>
      </c>
      <c r="B47" s="13" t="s">
        <v>3326</v>
      </c>
      <c r="C47" s="8">
        <v>2</v>
      </c>
      <c r="D47" s="9">
        <v>34.99</v>
      </c>
      <c r="E47" s="9">
        <v>69.98</v>
      </c>
      <c r="F47" s="8" t="s">
        <v>98</v>
      </c>
      <c r="G47" s="13" t="s">
        <v>31</v>
      </c>
      <c r="H47" s="19" t="s">
        <v>40</v>
      </c>
      <c r="I47" s="13" t="s">
        <v>11</v>
      </c>
      <c r="J47" s="13" t="s">
        <v>28</v>
      </c>
      <c r="K47" s="13" t="s">
        <v>29</v>
      </c>
      <c r="L47" s="20" t="str">
        <f>HYPERLINK("http://slimages.macys.com/is/image/MCY/19339149 ")</f>
        <v xml:space="preserve">http://slimages.macys.com/is/image/MCY/19339149 </v>
      </c>
    </row>
    <row r="48" spans="1:12" x14ac:dyDescent="0.25">
      <c r="A48" s="19" t="s">
        <v>1655</v>
      </c>
      <c r="B48" s="13" t="s">
        <v>1856</v>
      </c>
      <c r="C48" s="8">
        <v>4</v>
      </c>
      <c r="D48" s="9">
        <v>34.99</v>
      </c>
      <c r="E48" s="9">
        <v>139.96</v>
      </c>
      <c r="F48" s="8" t="s">
        <v>90</v>
      </c>
      <c r="G48" s="13" t="s">
        <v>44</v>
      </c>
      <c r="H48" s="19" t="s">
        <v>32</v>
      </c>
      <c r="I48" s="13" t="s">
        <v>11</v>
      </c>
      <c r="J48" s="13" t="s">
        <v>28</v>
      </c>
      <c r="K48" s="13" t="s">
        <v>29</v>
      </c>
      <c r="L48" s="20" t="str">
        <f>HYPERLINK("http://slimages.macys.com/is/image/MCY/19339149 ")</f>
        <v xml:space="preserve">http://slimages.macys.com/is/image/MCY/19339149 </v>
      </c>
    </row>
    <row r="49" spans="1:12" x14ac:dyDescent="0.25">
      <c r="A49" s="19" t="s">
        <v>88</v>
      </c>
      <c r="B49" s="13" t="s">
        <v>89</v>
      </c>
      <c r="C49" s="8">
        <v>2</v>
      </c>
      <c r="D49" s="9">
        <v>34.99</v>
      </c>
      <c r="E49" s="9">
        <v>69.98</v>
      </c>
      <c r="F49" s="8" t="s">
        <v>90</v>
      </c>
      <c r="G49" s="13" t="s">
        <v>44</v>
      </c>
      <c r="H49" s="19" t="s">
        <v>40</v>
      </c>
      <c r="I49" s="13" t="s">
        <v>11</v>
      </c>
      <c r="J49" s="13" t="s">
        <v>28</v>
      </c>
      <c r="K49" s="13" t="s">
        <v>29</v>
      </c>
      <c r="L49" s="20" t="str">
        <f>HYPERLINK("http://slimages.macys.com/is/image/MCY/19339149 ")</f>
        <v xml:space="preserve">http://slimages.macys.com/is/image/MCY/19339149 </v>
      </c>
    </row>
    <row r="50" spans="1:12" x14ac:dyDescent="0.25">
      <c r="A50" s="19" t="s">
        <v>3763</v>
      </c>
      <c r="B50" s="13" t="s">
        <v>3764</v>
      </c>
      <c r="C50" s="8">
        <v>1</v>
      </c>
      <c r="D50" s="9">
        <v>32.99</v>
      </c>
      <c r="E50" s="9">
        <v>32.99</v>
      </c>
      <c r="F50" s="8" t="s">
        <v>3765</v>
      </c>
      <c r="G50" s="13" t="s">
        <v>488</v>
      </c>
      <c r="H50" s="19" t="s">
        <v>87</v>
      </c>
      <c r="I50" s="13" t="s">
        <v>11</v>
      </c>
      <c r="J50" s="13" t="s">
        <v>28</v>
      </c>
      <c r="K50" s="13" t="s">
        <v>29</v>
      </c>
      <c r="L50" s="20" t="str">
        <f>HYPERLINK("http://slimages.macys.com/is/image/MCY/18826303 ")</f>
        <v xml:space="preserve">http://slimages.macys.com/is/image/MCY/18826303 </v>
      </c>
    </row>
    <row r="51" spans="1:12" x14ac:dyDescent="0.25">
      <c r="A51" s="19" t="s">
        <v>1844</v>
      </c>
      <c r="B51" s="13" t="s">
        <v>1845</v>
      </c>
      <c r="C51" s="8">
        <v>1</v>
      </c>
      <c r="D51" s="9">
        <v>39.99</v>
      </c>
      <c r="E51" s="9">
        <v>39.99</v>
      </c>
      <c r="F51" s="8" t="s">
        <v>576</v>
      </c>
      <c r="G51" s="13" t="s">
        <v>31</v>
      </c>
      <c r="H51" s="19" t="s">
        <v>87</v>
      </c>
      <c r="I51" s="13" t="s">
        <v>11</v>
      </c>
      <c r="J51" s="13" t="s">
        <v>28</v>
      </c>
      <c r="K51" s="13" t="s">
        <v>29</v>
      </c>
      <c r="L51" s="20" t="str">
        <f>HYPERLINK("http://slimages.macys.com/is/image/MCY/20051109 ")</f>
        <v xml:space="preserve">http://slimages.macys.com/is/image/MCY/20051109 </v>
      </c>
    </row>
    <row r="52" spans="1:12" x14ac:dyDescent="0.25">
      <c r="A52" s="19" t="s">
        <v>1830</v>
      </c>
      <c r="B52" s="13" t="s">
        <v>1831</v>
      </c>
      <c r="C52" s="8">
        <v>1</v>
      </c>
      <c r="D52" s="9">
        <v>39.99</v>
      </c>
      <c r="E52" s="9">
        <v>39.99</v>
      </c>
      <c r="F52" s="8" t="s">
        <v>1128</v>
      </c>
      <c r="G52" s="13" t="s">
        <v>44</v>
      </c>
      <c r="H52" s="19" t="s">
        <v>40</v>
      </c>
      <c r="I52" s="13" t="s">
        <v>11</v>
      </c>
      <c r="J52" s="13" t="s">
        <v>28</v>
      </c>
      <c r="K52" s="13" t="s">
        <v>29</v>
      </c>
      <c r="L52" s="20" t="str">
        <f>HYPERLINK("http://slimages.macys.com/is/image/MCY/20052118 ")</f>
        <v xml:space="preserve">http://slimages.macys.com/is/image/MCY/20052118 </v>
      </c>
    </row>
    <row r="53" spans="1:12" x14ac:dyDescent="0.25">
      <c r="A53" s="19" t="s">
        <v>3979</v>
      </c>
      <c r="B53" s="13" t="s">
        <v>3980</v>
      </c>
      <c r="C53" s="8">
        <v>1</v>
      </c>
      <c r="D53" s="9">
        <v>32.99</v>
      </c>
      <c r="E53" s="9">
        <v>32.99</v>
      </c>
      <c r="F53" s="8" t="s">
        <v>3954</v>
      </c>
      <c r="G53" s="13" t="s">
        <v>127</v>
      </c>
      <c r="H53" s="19" t="s">
        <v>87</v>
      </c>
      <c r="I53" s="13" t="s">
        <v>11</v>
      </c>
      <c r="J53" s="13" t="s">
        <v>28</v>
      </c>
      <c r="K53" s="13" t="s">
        <v>29</v>
      </c>
      <c r="L53" s="20"/>
    </row>
    <row r="54" spans="1:12" x14ac:dyDescent="0.25">
      <c r="A54" s="19" t="s">
        <v>3952</v>
      </c>
      <c r="B54" s="13" t="s">
        <v>3953</v>
      </c>
      <c r="C54" s="8">
        <v>1</v>
      </c>
      <c r="D54" s="9">
        <v>36.99</v>
      </c>
      <c r="E54" s="9">
        <v>36.99</v>
      </c>
      <c r="F54" s="8" t="s">
        <v>3699</v>
      </c>
      <c r="G54" s="13" t="s">
        <v>31</v>
      </c>
      <c r="H54" s="19" t="s">
        <v>47</v>
      </c>
      <c r="I54" s="13" t="s">
        <v>11</v>
      </c>
      <c r="J54" s="13" t="s">
        <v>28</v>
      </c>
      <c r="K54" s="13" t="s">
        <v>29</v>
      </c>
      <c r="L54" s="20" t="str">
        <f>HYPERLINK("http://slimages.macys.com/is/image/MCY/20383417 ")</f>
        <v xml:space="preserve">http://slimages.macys.com/is/image/MCY/20383417 </v>
      </c>
    </row>
    <row r="55" spans="1:12" x14ac:dyDescent="0.25">
      <c r="A55" s="19" t="s">
        <v>3697</v>
      </c>
      <c r="B55" s="13" t="s">
        <v>3698</v>
      </c>
      <c r="C55" s="8">
        <v>1</v>
      </c>
      <c r="D55" s="9">
        <v>36.99</v>
      </c>
      <c r="E55" s="9">
        <v>36.99</v>
      </c>
      <c r="F55" s="8" t="s">
        <v>3699</v>
      </c>
      <c r="G55" s="13" t="s">
        <v>31</v>
      </c>
      <c r="H55" s="19" t="s">
        <v>87</v>
      </c>
      <c r="I55" s="13" t="s">
        <v>11</v>
      </c>
      <c r="J55" s="13" t="s">
        <v>28</v>
      </c>
      <c r="K55" s="13" t="s">
        <v>29</v>
      </c>
      <c r="L55" s="20" t="str">
        <f>HYPERLINK("http://slimages.macys.com/is/image/MCY/20383413 ")</f>
        <v xml:space="preserve">http://slimages.macys.com/is/image/MCY/20383413 </v>
      </c>
    </row>
    <row r="56" spans="1:12" x14ac:dyDescent="0.25">
      <c r="A56" s="19" t="s">
        <v>3899</v>
      </c>
      <c r="B56" s="13" t="s">
        <v>3900</v>
      </c>
      <c r="C56" s="8">
        <v>1</v>
      </c>
      <c r="D56" s="9">
        <v>19.989999999999998</v>
      </c>
      <c r="E56" s="9">
        <v>19.989999999999998</v>
      </c>
      <c r="F56" s="8" t="s">
        <v>3574</v>
      </c>
      <c r="G56" s="13" t="s">
        <v>488</v>
      </c>
      <c r="H56" s="19" t="s">
        <v>55</v>
      </c>
      <c r="I56" s="13" t="s">
        <v>11</v>
      </c>
      <c r="J56" s="13" t="s">
        <v>28</v>
      </c>
      <c r="K56" s="13" t="s">
        <v>29</v>
      </c>
      <c r="L56" s="20" t="str">
        <f>HYPERLINK("http://slimages.macys.com/is/image/MCY/16271427 ")</f>
        <v xml:space="preserve">http://slimages.macys.com/is/image/MCY/16271427 </v>
      </c>
    </row>
    <row r="57" spans="1:12" x14ac:dyDescent="0.25">
      <c r="A57" s="19" t="s">
        <v>3990</v>
      </c>
      <c r="B57" s="13" t="s">
        <v>3991</v>
      </c>
      <c r="C57" s="8">
        <v>1</v>
      </c>
      <c r="D57" s="9">
        <v>25.99</v>
      </c>
      <c r="E57" s="9">
        <v>25.99</v>
      </c>
      <c r="F57" s="8" t="s">
        <v>2758</v>
      </c>
      <c r="G57" s="13" t="s">
        <v>58</v>
      </c>
      <c r="H57" s="19" t="s">
        <v>87</v>
      </c>
      <c r="I57" s="13" t="s">
        <v>11</v>
      </c>
      <c r="J57" s="13" t="s">
        <v>28</v>
      </c>
      <c r="K57" s="13" t="s">
        <v>29</v>
      </c>
      <c r="L57" s="20" t="str">
        <f>HYPERLINK("http://slimages.macys.com/is/image/MCY/18530225 ")</f>
        <v xml:space="preserve">http://slimages.macys.com/is/image/MCY/18530225 </v>
      </c>
    </row>
    <row r="58" spans="1:12" x14ac:dyDescent="0.25">
      <c r="A58" s="19" t="s">
        <v>1789</v>
      </c>
      <c r="B58" s="13" t="s">
        <v>1790</v>
      </c>
      <c r="C58" s="8">
        <v>1</v>
      </c>
      <c r="D58" s="9">
        <v>25.99</v>
      </c>
      <c r="E58" s="9">
        <v>25.99</v>
      </c>
      <c r="F58" s="8" t="s">
        <v>68</v>
      </c>
      <c r="G58" s="13" t="s">
        <v>44</v>
      </c>
      <c r="H58" s="19" t="s">
        <v>27</v>
      </c>
      <c r="I58" s="13" t="s">
        <v>11</v>
      </c>
      <c r="J58" s="13" t="s">
        <v>28</v>
      </c>
      <c r="K58" s="13" t="s">
        <v>29</v>
      </c>
      <c r="L58" s="20" t="str">
        <f>HYPERLINK("http://slimages.macys.com/is/image/MCY/18574734 ")</f>
        <v xml:space="preserve">http://slimages.macys.com/is/image/MCY/18574734 </v>
      </c>
    </row>
    <row r="59" spans="1:12" x14ac:dyDescent="0.25">
      <c r="A59" s="19" t="s">
        <v>3987</v>
      </c>
      <c r="B59" s="13" t="s">
        <v>3988</v>
      </c>
      <c r="C59" s="8">
        <v>1</v>
      </c>
      <c r="D59" s="9">
        <v>32.99</v>
      </c>
      <c r="E59" s="9">
        <v>32.99</v>
      </c>
      <c r="F59" s="8" t="s">
        <v>3989</v>
      </c>
      <c r="G59" s="13" t="s">
        <v>107</v>
      </c>
      <c r="H59" s="19" t="s">
        <v>47</v>
      </c>
      <c r="I59" s="13" t="s">
        <v>11</v>
      </c>
      <c r="J59" s="13" t="s">
        <v>28</v>
      </c>
      <c r="K59" s="13" t="s">
        <v>29</v>
      </c>
      <c r="L59" s="20" t="str">
        <f>HYPERLINK("http://slimages.macys.com/is/image/MCY/18826370 ")</f>
        <v xml:space="preserve">http://slimages.macys.com/is/image/MCY/18826370 </v>
      </c>
    </row>
    <row r="60" spans="1:12" x14ac:dyDescent="0.25">
      <c r="A60" s="19" t="s">
        <v>4098</v>
      </c>
      <c r="B60" s="13" t="s">
        <v>4099</v>
      </c>
      <c r="C60" s="8">
        <v>1</v>
      </c>
      <c r="D60" s="9">
        <v>50</v>
      </c>
      <c r="E60" s="9">
        <v>50</v>
      </c>
      <c r="F60" s="8" t="s">
        <v>4100</v>
      </c>
      <c r="G60" s="13" t="s">
        <v>4101</v>
      </c>
      <c r="H60" s="19" t="s">
        <v>27</v>
      </c>
      <c r="I60" s="13" t="s">
        <v>893</v>
      </c>
      <c r="J60" s="13" t="s">
        <v>260</v>
      </c>
      <c r="K60" s="13" t="s">
        <v>990</v>
      </c>
      <c r="L60" s="20" t="str">
        <f>HYPERLINK("http://images.bloomingdales.com/is/image/BLM/11474438 ")</f>
        <v xml:space="preserve">http://images.bloomingdales.com/is/image/BLM/11474438 </v>
      </c>
    </row>
    <row r="61" spans="1:12" x14ac:dyDescent="0.25">
      <c r="A61" s="19" t="s">
        <v>4058</v>
      </c>
      <c r="B61" s="13" t="s">
        <v>4059</v>
      </c>
      <c r="C61" s="8">
        <v>1</v>
      </c>
      <c r="D61" s="9">
        <v>11</v>
      </c>
      <c r="E61" s="9">
        <v>11</v>
      </c>
      <c r="F61" s="8">
        <v>933182</v>
      </c>
      <c r="G61" s="13" t="s">
        <v>238</v>
      </c>
      <c r="H61" s="19" t="s">
        <v>40</v>
      </c>
      <c r="I61" s="13" t="s">
        <v>11</v>
      </c>
      <c r="J61" s="13" t="s">
        <v>217</v>
      </c>
      <c r="K61" s="13" t="s">
        <v>221</v>
      </c>
      <c r="L61" s="20" t="str">
        <f>HYPERLINK("http://slimages.macys.com/is/image/MCY/3756993 ")</f>
        <v xml:space="preserve">http://slimages.macys.com/is/image/MCY/3756993 </v>
      </c>
    </row>
    <row r="62" spans="1:12" x14ac:dyDescent="0.25">
      <c r="A62" s="19" t="s">
        <v>4054</v>
      </c>
      <c r="B62" s="13" t="s">
        <v>4055</v>
      </c>
      <c r="C62" s="8">
        <v>1</v>
      </c>
      <c r="D62" s="9">
        <v>50</v>
      </c>
      <c r="E62" s="9">
        <v>50</v>
      </c>
      <c r="F62" s="8">
        <v>931204</v>
      </c>
      <c r="G62" s="13" t="s">
        <v>195</v>
      </c>
      <c r="H62" s="19" t="s">
        <v>27</v>
      </c>
      <c r="I62" s="13" t="s">
        <v>11</v>
      </c>
      <c r="J62" s="13" t="s">
        <v>217</v>
      </c>
      <c r="K62" s="13" t="s">
        <v>221</v>
      </c>
      <c r="L62" s="20" t="str">
        <f>HYPERLINK("http://slimages.macys.com/is/image/MCY/18476060 ")</f>
        <v xml:space="preserve">http://slimages.macys.com/is/image/MCY/18476060 </v>
      </c>
    </row>
    <row r="63" spans="1:12" x14ac:dyDescent="0.25">
      <c r="A63" s="19" t="s">
        <v>4056</v>
      </c>
      <c r="B63" s="13" t="s">
        <v>4057</v>
      </c>
      <c r="C63" s="8">
        <v>1</v>
      </c>
      <c r="D63" s="9">
        <v>35</v>
      </c>
      <c r="E63" s="9">
        <v>35</v>
      </c>
      <c r="F63" s="8">
        <v>910305</v>
      </c>
      <c r="G63" s="13"/>
      <c r="H63" s="19" t="s">
        <v>40</v>
      </c>
      <c r="I63" s="13" t="s">
        <v>11</v>
      </c>
      <c r="J63" s="13" t="s">
        <v>217</v>
      </c>
      <c r="K63" s="13" t="s">
        <v>221</v>
      </c>
      <c r="L63" s="20" t="str">
        <f>HYPERLINK("http://slimages.macys.com/is/image/MCY/19846239 ")</f>
        <v xml:space="preserve">http://slimages.macys.com/is/image/MCY/19846239 </v>
      </c>
    </row>
    <row r="64" spans="1:12" x14ac:dyDescent="0.25">
      <c r="A64" s="19" t="s">
        <v>2862</v>
      </c>
      <c r="B64" s="13" t="s">
        <v>2863</v>
      </c>
      <c r="C64" s="8">
        <v>1</v>
      </c>
      <c r="D64" s="9">
        <v>26.11</v>
      </c>
      <c r="E64" s="9">
        <v>26.11</v>
      </c>
      <c r="F64" s="8">
        <v>3484</v>
      </c>
      <c r="G64" s="13" t="s">
        <v>120</v>
      </c>
      <c r="H64" s="19" t="s">
        <v>2864</v>
      </c>
      <c r="I64" s="13" t="s">
        <v>11</v>
      </c>
      <c r="J64" s="13" t="s">
        <v>109</v>
      </c>
      <c r="K64" s="13" t="s">
        <v>110</v>
      </c>
      <c r="L64" s="20" t="str">
        <f>HYPERLINK("http://slimages.macys.com/is/image/MCY/3468274 ")</f>
        <v xml:space="preserve">http://slimages.macys.com/is/image/MCY/3468274 </v>
      </c>
    </row>
    <row r="65" spans="1:12" x14ac:dyDescent="0.25">
      <c r="A65" s="19" t="s">
        <v>3996</v>
      </c>
      <c r="B65" s="13" t="s">
        <v>3997</v>
      </c>
      <c r="C65" s="8">
        <v>1</v>
      </c>
      <c r="D65" s="9">
        <v>35.200000000000003</v>
      </c>
      <c r="E65" s="9">
        <v>35.200000000000003</v>
      </c>
      <c r="F65" s="8">
        <v>6543</v>
      </c>
      <c r="G65" s="13" t="s">
        <v>76</v>
      </c>
      <c r="H65" s="19" t="s">
        <v>126</v>
      </c>
      <c r="I65" s="13" t="s">
        <v>11</v>
      </c>
      <c r="J65" s="13" t="s">
        <v>109</v>
      </c>
      <c r="K65" s="13" t="s">
        <v>110</v>
      </c>
      <c r="L65" s="20" t="str">
        <f>HYPERLINK("http://slimages.macys.com/is/image/MCY/3142700 ")</f>
        <v xml:space="preserve">http://slimages.macys.com/is/image/MCY/3142700 </v>
      </c>
    </row>
    <row r="66" spans="1:12" x14ac:dyDescent="0.25">
      <c r="A66" s="19" t="s">
        <v>3994</v>
      </c>
      <c r="B66" s="13" t="s">
        <v>3995</v>
      </c>
      <c r="C66" s="8">
        <v>1</v>
      </c>
      <c r="D66" s="9">
        <v>35.200000000000003</v>
      </c>
      <c r="E66" s="9">
        <v>35.200000000000003</v>
      </c>
      <c r="F66" s="8">
        <v>6543</v>
      </c>
      <c r="G66" s="13" t="s">
        <v>76</v>
      </c>
      <c r="H66" s="19" t="s">
        <v>146</v>
      </c>
      <c r="I66" s="13" t="s">
        <v>11</v>
      </c>
      <c r="J66" s="13" t="s">
        <v>109</v>
      </c>
      <c r="K66" s="13" t="s">
        <v>110</v>
      </c>
      <c r="L66" s="20" t="str">
        <f>HYPERLINK("http://slimages.macys.com/is/image/MCY/3142700 ")</f>
        <v xml:space="preserve">http://slimages.macys.com/is/image/MCY/3142700 </v>
      </c>
    </row>
    <row r="67" spans="1:12" x14ac:dyDescent="0.25">
      <c r="A67" s="19" t="s">
        <v>4210</v>
      </c>
      <c r="B67" s="13" t="s">
        <v>4211</v>
      </c>
      <c r="C67" s="8">
        <v>1</v>
      </c>
      <c r="D67" s="9">
        <v>124</v>
      </c>
      <c r="E67" s="9">
        <v>124</v>
      </c>
      <c r="F67" s="8" t="s">
        <v>4212</v>
      </c>
      <c r="G67" s="13" t="s">
        <v>120</v>
      </c>
      <c r="H67" s="19" t="s">
        <v>40</v>
      </c>
      <c r="I67" s="13" t="s">
        <v>893</v>
      </c>
      <c r="J67" s="13" t="s">
        <v>539</v>
      </c>
      <c r="K67" s="13" t="s">
        <v>3757</v>
      </c>
      <c r="L67" s="20" t="str">
        <f>HYPERLINK("http://images.bloomingdales.com/is/image/BLM/11323378 ")</f>
        <v xml:space="preserve">http://images.bloomingdales.com/is/image/BLM/11323378 </v>
      </c>
    </row>
    <row r="68" spans="1:12" x14ac:dyDescent="0.25">
      <c r="A68" s="19" t="s">
        <v>4036</v>
      </c>
      <c r="B68" s="13" t="s">
        <v>4037</v>
      </c>
      <c r="C68" s="8">
        <v>1</v>
      </c>
      <c r="D68" s="9">
        <v>54</v>
      </c>
      <c r="E68" s="9">
        <v>54</v>
      </c>
      <c r="F68" s="8" t="s">
        <v>1878</v>
      </c>
      <c r="G68" s="13" t="s">
        <v>31</v>
      </c>
      <c r="H68" s="19" t="s">
        <v>32</v>
      </c>
      <c r="I68" s="13" t="s">
        <v>11</v>
      </c>
      <c r="J68" s="13" t="s">
        <v>142</v>
      </c>
      <c r="K68" s="13" t="s">
        <v>143</v>
      </c>
      <c r="L68" s="20" t="str">
        <f>HYPERLINK("http://slimages.macys.com/is/image/MCY/20242241 ")</f>
        <v xml:space="preserve">http://slimages.macys.com/is/image/MCY/20242241 </v>
      </c>
    </row>
    <row r="69" spans="1:12" x14ac:dyDescent="0.25">
      <c r="A69" s="19" t="s">
        <v>4046</v>
      </c>
      <c r="B69" s="13" t="s">
        <v>4047</v>
      </c>
      <c r="C69" s="8">
        <v>1</v>
      </c>
      <c r="D69" s="9">
        <v>11.67</v>
      </c>
      <c r="E69" s="9">
        <v>11.67</v>
      </c>
      <c r="F69" s="8" t="s">
        <v>190</v>
      </c>
      <c r="G69" s="13" t="s">
        <v>31</v>
      </c>
      <c r="H69" s="19" t="s">
        <v>32</v>
      </c>
      <c r="I69" s="13" t="s">
        <v>11</v>
      </c>
      <c r="J69" s="13" t="s">
        <v>142</v>
      </c>
      <c r="K69" s="13" t="s">
        <v>143</v>
      </c>
      <c r="L69" s="20" t="str">
        <f>HYPERLINK("http://slimages.macys.com/is/image/MCY/13042320 ")</f>
        <v xml:space="preserve">http://slimages.macys.com/is/image/MCY/13042320 </v>
      </c>
    </row>
    <row r="70" spans="1:12" x14ac:dyDescent="0.25">
      <c r="A70" s="19" t="s">
        <v>1164</v>
      </c>
      <c r="B70" s="13" t="s">
        <v>1165</v>
      </c>
      <c r="C70" s="8">
        <v>1</v>
      </c>
      <c r="D70" s="9">
        <v>49</v>
      </c>
      <c r="E70" s="9">
        <v>49</v>
      </c>
      <c r="F70" s="8" t="s">
        <v>665</v>
      </c>
      <c r="G70" s="13" t="s">
        <v>62</v>
      </c>
      <c r="H70" s="19" t="s">
        <v>149</v>
      </c>
      <c r="I70" s="13" t="s">
        <v>11</v>
      </c>
      <c r="J70" s="13" t="s">
        <v>142</v>
      </c>
      <c r="K70" s="13" t="s">
        <v>143</v>
      </c>
      <c r="L70" s="20" t="str">
        <f>HYPERLINK("http://slimages.macys.com/is/image/MCY/16329180 ")</f>
        <v xml:space="preserve">http://slimages.macys.com/is/image/MCY/16329180 </v>
      </c>
    </row>
    <row r="71" spans="1:12" x14ac:dyDescent="0.25">
      <c r="A71" s="19" t="s">
        <v>4041</v>
      </c>
      <c r="B71" s="13" t="s">
        <v>4042</v>
      </c>
      <c r="C71" s="8">
        <v>1</v>
      </c>
      <c r="D71" s="9">
        <v>40</v>
      </c>
      <c r="E71" s="9">
        <v>40</v>
      </c>
      <c r="F71" s="8" t="s">
        <v>4043</v>
      </c>
      <c r="G71" s="13" t="s">
        <v>205</v>
      </c>
      <c r="H71" s="19" t="s">
        <v>32</v>
      </c>
      <c r="I71" s="13" t="s">
        <v>11</v>
      </c>
      <c r="J71" s="13" t="s">
        <v>142</v>
      </c>
      <c r="K71" s="13" t="s">
        <v>143</v>
      </c>
      <c r="L71" s="20" t="str">
        <f>HYPERLINK("http://slimages.macys.com/is/image/MCY/18928357 ")</f>
        <v xml:space="preserve">http://slimages.macys.com/is/image/MCY/18928357 </v>
      </c>
    </row>
    <row r="72" spans="1:12" x14ac:dyDescent="0.25">
      <c r="A72" s="19" t="s">
        <v>4044</v>
      </c>
      <c r="B72" s="13" t="s">
        <v>4045</v>
      </c>
      <c r="C72" s="8">
        <v>1</v>
      </c>
      <c r="D72" s="9">
        <v>40</v>
      </c>
      <c r="E72" s="9">
        <v>40</v>
      </c>
      <c r="F72" s="8" t="s">
        <v>4043</v>
      </c>
      <c r="G72" s="13" t="s">
        <v>205</v>
      </c>
      <c r="H72" s="19" t="s">
        <v>40</v>
      </c>
      <c r="I72" s="13" t="s">
        <v>11</v>
      </c>
      <c r="J72" s="13" t="s">
        <v>142</v>
      </c>
      <c r="K72" s="13" t="s">
        <v>143</v>
      </c>
      <c r="L72" s="20" t="str">
        <f>HYPERLINK("http://slimages.macys.com/is/image/MCY/18928357 ")</f>
        <v xml:space="preserve">http://slimages.macys.com/is/image/MCY/18928357 </v>
      </c>
    </row>
    <row r="73" spans="1:12" x14ac:dyDescent="0.25">
      <c r="A73" s="19" t="s">
        <v>4034</v>
      </c>
      <c r="B73" s="13" t="s">
        <v>4035</v>
      </c>
      <c r="C73" s="8">
        <v>1</v>
      </c>
      <c r="D73" s="9">
        <v>68</v>
      </c>
      <c r="E73" s="9">
        <v>68</v>
      </c>
      <c r="F73" s="8" t="s">
        <v>141</v>
      </c>
      <c r="G73" s="13" t="s">
        <v>57</v>
      </c>
      <c r="H73" s="19" t="s">
        <v>55</v>
      </c>
      <c r="I73" s="13" t="s">
        <v>11</v>
      </c>
      <c r="J73" s="13" t="s">
        <v>142</v>
      </c>
      <c r="K73" s="13" t="s">
        <v>143</v>
      </c>
      <c r="L73" s="20" t="str">
        <f>HYPERLINK("http://slimages.macys.com/is/image/MCY/20119140 ")</f>
        <v xml:space="preserve">http://slimages.macys.com/is/image/MCY/20119140 </v>
      </c>
    </row>
    <row r="74" spans="1:12" x14ac:dyDescent="0.25">
      <c r="A74" s="19" t="s">
        <v>722</v>
      </c>
      <c r="B74" s="13" t="s">
        <v>723</v>
      </c>
      <c r="C74" s="8">
        <v>1</v>
      </c>
      <c r="D74" s="9">
        <v>26.11</v>
      </c>
      <c r="E74" s="9">
        <v>26.11</v>
      </c>
      <c r="F74" s="8" t="s">
        <v>215</v>
      </c>
      <c r="G74" s="13" t="s">
        <v>713</v>
      </c>
      <c r="H74" s="19" t="s">
        <v>27</v>
      </c>
      <c r="I74" s="13" t="s">
        <v>11</v>
      </c>
      <c r="J74" s="13" t="s">
        <v>142</v>
      </c>
      <c r="K74" s="13" t="s">
        <v>143</v>
      </c>
      <c r="L74" s="20" t="str">
        <f>HYPERLINK("http://slimages.macys.com/is/image/MCY/20244393 ")</f>
        <v xml:space="preserve">http://slimages.macys.com/is/image/MCY/20244393 </v>
      </c>
    </row>
    <row r="75" spans="1:12" x14ac:dyDescent="0.25">
      <c r="A75" s="19" t="s">
        <v>4038</v>
      </c>
      <c r="B75" s="13" t="s">
        <v>4039</v>
      </c>
      <c r="C75" s="8">
        <v>1</v>
      </c>
      <c r="D75" s="9">
        <v>46</v>
      </c>
      <c r="E75" s="9">
        <v>46</v>
      </c>
      <c r="F75" s="8" t="s">
        <v>4040</v>
      </c>
      <c r="G75" s="13" t="s">
        <v>76</v>
      </c>
      <c r="H75" s="19" t="s">
        <v>27</v>
      </c>
      <c r="I75" s="13" t="s">
        <v>11</v>
      </c>
      <c r="J75" s="13" t="s">
        <v>142</v>
      </c>
      <c r="K75" s="13" t="s">
        <v>143</v>
      </c>
      <c r="L75" s="20" t="str">
        <f>HYPERLINK("http://slimages.macys.com/is/image/MCY/16743589 ")</f>
        <v xml:space="preserve">http://slimages.macys.com/is/image/MCY/16743589 </v>
      </c>
    </row>
    <row r="76" spans="1:12" x14ac:dyDescent="0.25">
      <c r="A76" s="19" t="s">
        <v>768</v>
      </c>
      <c r="B76" s="13" t="s">
        <v>769</v>
      </c>
      <c r="C76" s="8">
        <v>1</v>
      </c>
      <c r="D76" s="9">
        <v>42</v>
      </c>
      <c r="E76" s="9">
        <v>42</v>
      </c>
      <c r="F76" s="8" t="s">
        <v>359</v>
      </c>
      <c r="G76" s="13" t="s">
        <v>86</v>
      </c>
      <c r="H76" s="19" t="s">
        <v>32</v>
      </c>
      <c r="I76" s="13" t="s">
        <v>11</v>
      </c>
      <c r="J76" s="13" t="s">
        <v>343</v>
      </c>
      <c r="K76" s="13" t="s">
        <v>360</v>
      </c>
      <c r="L76" s="20" t="str">
        <f>HYPERLINK("http://slimages.macys.com/is/image/MCY/19754770 ")</f>
        <v xml:space="preserve">http://slimages.macys.com/is/image/MCY/19754770 </v>
      </c>
    </row>
    <row r="77" spans="1:12" x14ac:dyDescent="0.25">
      <c r="A77" s="19" t="s">
        <v>4004</v>
      </c>
      <c r="B77" s="13" t="s">
        <v>4005</v>
      </c>
      <c r="C77" s="8">
        <v>1</v>
      </c>
      <c r="D77" s="9">
        <v>49.99</v>
      </c>
      <c r="E77" s="9">
        <v>49.99</v>
      </c>
      <c r="F77" s="8" t="s">
        <v>3828</v>
      </c>
      <c r="G77" s="13" t="s">
        <v>82</v>
      </c>
      <c r="H77" s="19" t="s">
        <v>87</v>
      </c>
      <c r="I77" s="13" t="s">
        <v>11</v>
      </c>
      <c r="J77" s="13" t="s">
        <v>130</v>
      </c>
      <c r="K77" s="13" t="s">
        <v>131</v>
      </c>
      <c r="L77" s="20" t="str">
        <f>HYPERLINK("http://slimages.macys.com/is/image/MCY/19339592 ")</f>
        <v xml:space="preserve">http://slimages.macys.com/is/image/MCY/19339592 </v>
      </c>
    </row>
    <row r="78" spans="1:12" x14ac:dyDescent="0.25">
      <c r="A78" s="19" t="s">
        <v>2168</v>
      </c>
      <c r="B78" s="13" t="s">
        <v>2169</v>
      </c>
      <c r="C78" s="8">
        <v>1</v>
      </c>
      <c r="D78" s="9">
        <v>39.99</v>
      </c>
      <c r="E78" s="9">
        <v>39.99</v>
      </c>
      <c r="F78" s="8" t="s">
        <v>2170</v>
      </c>
      <c r="G78" s="13" t="s">
        <v>78</v>
      </c>
      <c r="H78" s="19" t="s">
        <v>47</v>
      </c>
      <c r="I78" s="13" t="s">
        <v>11</v>
      </c>
      <c r="J78" s="13" t="s">
        <v>130</v>
      </c>
      <c r="K78" s="13" t="s">
        <v>131</v>
      </c>
      <c r="L78" s="20" t="str">
        <f>HYPERLINK("http://slimages.macys.com/is/image/MCY/20492833 ")</f>
        <v xml:space="preserve">http://slimages.macys.com/is/image/MCY/20492833 </v>
      </c>
    </row>
    <row r="79" spans="1:12" x14ac:dyDescent="0.25">
      <c r="A79" s="19" t="s">
        <v>1724</v>
      </c>
      <c r="B79" s="13" t="s">
        <v>1725</v>
      </c>
      <c r="C79" s="8">
        <v>1</v>
      </c>
      <c r="D79" s="9">
        <v>22.99</v>
      </c>
      <c r="E79" s="9">
        <v>22.99</v>
      </c>
      <c r="F79" s="8" t="s">
        <v>655</v>
      </c>
      <c r="G79" s="13" t="s">
        <v>62</v>
      </c>
      <c r="H79" s="19" t="s">
        <v>87</v>
      </c>
      <c r="I79" s="13" t="s">
        <v>11</v>
      </c>
      <c r="J79" s="13" t="s">
        <v>130</v>
      </c>
      <c r="K79" s="13" t="s">
        <v>131</v>
      </c>
      <c r="L79" s="20" t="str">
        <f>HYPERLINK("http://slimages.macys.com/is/image/MCY/19224657 ")</f>
        <v xml:space="preserve">http://slimages.macys.com/is/image/MCY/19224657 </v>
      </c>
    </row>
    <row r="80" spans="1:12" x14ac:dyDescent="0.25">
      <c r="A80" s="19" t="s">
        <v>3903</v>
      </c>
      <c r="B80" s="13" t="s">
        <v>3904</v>
      </c>
      <c r="C80" s="8">
        <v>1</v>
      </c>
      <c r="D80" s="9">
        <v>24.99</v>
      </c>
      <c r="E80" s="9">
        <v>24.99</v>
      </c>
      <c r="F80" s="8" t="s">
        <v>3575</v>
      </c>
      <c r="G80" s="13" t="s">
        <v>44</v>
      </c>
      <c r="H80" s="19" t="s">
        <v>87</v>
      </c>
      <c r="I80" s="13" t="s">
        <v>11</v>
      </c>
      <c r="J80" s="13" t="s">
        <v>130</v>
      </c>
      <c r="K80" s="13" t="s">
        <v>131</v>
      </c>
      <c r="L80" s="20" t="str">
        <f>HYPERLINK("http://slimages.macys.com/is/image/MCY/20453849 ")</f>
        <v xml:space="preserve">http://slimages.macys.com/is/image/MCY/20453849 </v>
      </c>
    </row>
    <row r="81" spans="1:12" x14ac:dyDescent="0.25">
      <c r="A81" s="19" t="s">
        <v>4006</v>
      </c>
      <c r="B81" s="13" t="s">
        <v>4007</v>
      </c>
      <c r="C81" s="8">
        <v>1</v>
      </c>
      <c r="D81" s="9">
        <v>32.99</v>
      </c>
      <c r="E81" s="9">
        <v>32.99</v>
      </c>
      <c r="F81" s="8">
        <v>100069416</v>
      </c>
      <c r="G81" s="13" t="s">
        <v>83</v>
      </c>
      <c r="H81" s="19" t="s">
        <v>32</v>
      </c>
      <c r="I81" s="13" t="s">
        <v>11</v>
      </c>
      <c r="J81" s="13" t="s">
        <v>130</v>
      </c>
      <c r="K81" s="13" t="s">
        <v>131</v>
      </c>
      <c r="L81" s="20" t="str">
        <f>HYPERLINK("http://slimages.macys.com/is/image/MCY/13727717 ")</f>
        <v xml:space="preserve">http://slimages.macys.com/is/image/MCY/13727717 </v>
      </c>
    </row>
    <row r="82" spans="1:12" x14ac:dyDescent="0.25">
      <c r="A82" s="19" t="s">
        <v>4008</v>
      </c>
      <c r="B82" s="13" t="s">
        <v>4009</v>
      </c>
      <c r="C82" s="8">
        <v>1</v>
      </c>
      <c r="D82" s="9">
        <v>32.99</v>
      </c>
      <c r="E82" s="9">
        <v>32.99</v>
      </c>
      <c r="F82" s="8" t="s">
        <v>1658</v>
      </c>
      <c r="G82" s="13" t="s">
        <v>62</v>
      </c>
      <c r="H82" s="19" t="s">
        <v>27</v>
      </c>
      <c r="I82" s="13" t="s">
        <v>11</v>
      </c>
      <c r="J82" s="13" t="s">
        <v>130</v>
      </c>
      <c r="K82" s="13" t="s">
        <v>131</v>
      </c>
      <c r="L82" s="20" t="str">
        <f>HYPERLINK("http://slimages.macys.com/is/image/MCY/19865538 ")</f>
        <v xml:space="preserve">http://slimages.macys.com/is/image/MCY/19865538 </v>
      </c>
    </row>
    <row r="83" spans="1:12" x14ac:dyDescent="0.25">
      <c r="A83" s="19" t="s">
        <v>4010</v>
      </c>
      <c r="B83" s="13" t="s">
        <v>4011</v>
      </c>
      <c r="C83" s="8">
        <v>1</v>
      </c>
      <c r="D83" s="9">
        <v>32.99</v>
      </c>
      <c r="E83" s="9">
        <v>32.99</v>
      </c>
      <c r="F83" s="8" t="s">
        <v>3776</v>
      </c>
      <c r="G83" s="13" t="s">
        <v>102</v>
      </c>
      <c r="H83" s="19" t="s">
        <v>40</v>
      </c>
      <c r="I83" s="13" t="s">
        <v>11</v>
      </c>
      <c r="J83" s="13" t="s">
        <v>130</v>
      </c>
      <c r="K83" s="13" t="s">
        <v>131</v>
      </c>
      <c r="L83" s="20" t="str">
        <f>HYPERLINK("http://slimages.macys.com/is/image/MCY/19865538 ")</f>
        <v xml:space="preserve">http://slimages.macys.com/is/image/MCY/19865538 </v>
      </c>
    </row>
    <row r="84" spans="1:12" x14ac:dyDescent="0.25">
      <c r="A84" s="19" t="s">
        <v>4012</v>
      </c>
      <c r="B84" s="13" t="s">
        <v>4013</v>
      </c>
      <c r="C84" s="8">
        <v>1</v>
      </c>
      <c r="D84" s="9">
        <v>32.99</v>
      </c>
      <c r="E84" s="9">
        <v>32.99</v>
      </c>
      <c r="F84" s="8" t="s">
        <v>3776</v>
      </c>
      <c r="G84" s="13" t="s">
        <v>102</v>
      </c>
      <c r="H84" s="19" t="s">
        <v>55</v>
      </c>
      <c r="I84" s="13" t="s">
        <v>11</v>
      </c>
      <c r="J84" s="13" t="s">
        <v>130</v>
      </c>
      <c r="K84" s="13" t="s">
        <v>131</v>
      </c>
      <c r="L84" s="20" t="str">
        <f>HYPERLINK("http://slimages.macys.com/is/image/MCY/19865538 ")</f>
        <v xml:space="preserve">http://slimages.macys.com/is/image/MCY/19865538 </v>
      </c>
    </row>
    <row r="85" spans="1:12" x14ac:dyDescent="0.25">
      <c r="A85" s="19" t="s">
        <v>3774</v>
      </c>
      <c r="B85" s="13" t="s">
        <v>3775</v>
      </c>
      <c r="C85" s="8">
        <v>1</v>
      </c>
      <c r="D85" s="9">
        <v>32.99</v>
      </c>
      <c r="E85" s="9">
        <v>32.99</v>
      </c>
      <c r="F85" s="8" t="s">
        <v>3776</v>
      </c>
      <c r="G85" s="13" t="s">
        <v>102</v>
      </c>
      <c r="H85" s="19" t="s">
        <v>27</v>
      </c>
      <c r="I85" s="13" t="s">
        <v>11</v>
      </c>
      <c r="J85" s="13" t="s">
        <v>130</v>
      </c>
      <c r="K85" s="13" t="s">
        <v>131</v>
      </c>
      <c r="L85" s="20" t="str">
        <f>HYPERLINK("http://slimages.macys.com/is/image/MCY/19865538 ")</f>
        <v xml:space="preserve">http://slimages.macys.com/is/image/MCY/19865538 </v>
      </c>
    </row>
    <row r="86" spans="1:12" x14ac:dyDescent="0.25">
      <c r="A86" s="19" t="s">
        <v>3580</v>
      </c>
      <c r="B86" s="13" t="s">
        <v>3581</v>
      </c>
      <c r="C86" s="8">
        <v>1</v>
      </c>
      <c r="D86" s="9">
        <v>24.99</v>
      </c>
      <c r="E86" s="9">
        <v>24.99</v>
      </c>
      <c r="F86" s="8" t="s">
        <v>3579</v>
      </c>
      <c r="G86" s="13" t="s">
        <v>31</v>
      </c>
      <c r="H86" s="19" t="s">
        <v>32</v>
      </c>
      <c r="I86" s="13" t="s">
        <v>11</v>
      </c>
      <c r="J86" s="13" t="s">
        <v>130</v>
      </c>
      <c r="K86" s="13" t="s">
        <v>131</v>
      </c>
      <c r="L86" s="20" t="str">
        <f>HYPERLINK("http://slimages.macys.com/is/image/MCY/1064527 ")</f>
        <v xml:space="preserve">http://slimages.macys.com/is/image/MCY/1064527 </v>
      </c>
    </row>
    <row r="87" spans="1:12" x14ac:dyDescent="0.25">
      <c r="A87" s="19" t="s">
        <v>3909</v>
      </c>
      <c r="B87" s="13" t="s">
        <v>3910</v>
      </c>
      <c r="C87" s="8">
        <v>1</v>
      </c>
      <c r="D87" s="9">
        <v>24.99</v>
      </c>
      <c r="E87" s="9">
        <v>24.99</v>
      </c>
      <c r="F87" s="8" t="s">
        <v>3579</v>
      </c>
      <c r="G87" s="13" t="s">
        <v>31</v>
      </c>
      <c r="H87" s="19" t="s">
        <v>40</v>
      </c>
      <c r="I87" s="13" t="s">
        <v>11</v>
      </c>
      <c r="J87" s="13" t="s">
        <v>130</v>
      </c>
      <c r="K87" s="13" t="s">
        <v>131</v>
      </c>
      <c r="L87" s="20" t="str">
        <f>HYPERLINK("http://slimages.macys.com/is/image/MCY/1064527 ")</f>
        <v xml:space="preserve">http://slimages.macys.com/is/image/MCY/1064527 </v>
      </c>
    </row>
    <row r="88" spans="1:12" x14ac:dyDescent="0.25">
      <c r="A88" s="19" t="s">
        <v>3577</v>
      </c>
      <c r="B88" s="13" t="s">
        <v>3578</v>
      </c>
      <c r="C88" s="8">
        <v>1</v>
      </c>
      <c r="D88" s="9">
        <v>24.99</v>
      </c>
      <c r="E88" s="9">
        <v>24.99</v>
      </c>
      <c r="F88" s="8" t="s">
        <v>3579</v>
      </c>
      <c r="G88" s="13" t="s">
        <v>31</v>
      </c>
      <c r="H88" s="19" t="s">
        <v>55</v>
      </c>
      <c r="I88" s="13" t="s">
        <v>11</v>
      </c>
      <c r="J88" s="13" t="s">
        <v>130</v>
      </c>
      <c r="K88" s="13" t="s">
        <v>131</v>
      </c>
      <c r="L88" s="20" t="str">
        <f>HYPERLINK("http://slimages.macys.com/is/image/MCY/1064527 ")</f>
        <v xml:space="preserve">http://slimages.macys.com/is/image/MCY/1064527 </v>
      </c>
    </row>
    <row r="89" spans="1:12" x14ac:dyDescent="0.25">
      <c r="A89" s="19" t="s">
        <v>3847</v>
      </c>
      <c r="B89" s="13" t="s">
        <v>3848</v>
      </c>
      <c r="C89" s="8">
        <v>2</v>
      </c>
      <c r="D89" s="9">
        <v>24.99</v>
      </c>
      <c r="E89" s="9">
        <v>49.98</v>
      </c>
      <c r="F89" s="8" t="s">
        <v>3579</v>
      </c>
      <c r="G89" s="13" t="s">
        <v>31</v>
      </c>
      <c r="H89" s="19" t="s">
        <v>47</v>
      </c>
      <c r="I89" s="13" t="s">
        <v>11</v>
      </c>
      <c r="J89" s="13" t="s">
        <v>130</v>
      </c>
      <c r="K89" s="13" t="s">
        <v>131</v>
      </c>
      <c r="L89" s="20" t="str">
        <f>HYPERLINK("http://slimages.macys.com/is/image/MCY/19789675 ")</f>
        <v xml:space="preserve">http://slimages.macys.com/is/image/MCY/19789675 </v>
      </c>
    </row>
    <row r="90" spans="1:12" x14ac:dyDescent="0.25">
      <c r="A90" s="19" t="s">
        <v>3718</v>
      </c>
      <c r="B90" s="13" t="s">
        <v>3719</v>
      </c>
      <c r="C90" s="8">
        <v>1</v>
      </c>
      <c r="D90" s="9">
        <v>24.99</v>
      </c>
      <c r="E90" s="9">
        <v>24.99</v>
      </c>
      <c r="F90" s="8" t="s">
        <v>3579</v>
      </c>
      <c r="G90" s="13" t="s">
        <v>31</v>
      </c>
      <c r="H90" s="19" t="s">
        <v>87</v>
      </c>
      <c r="I90" s="13" t="s">
        <v>11</v>
      </c>
      <c r="J90" s="13" t="s">
        <v>130</v>
      </c>
      <c r="K90" s="13" t="s">
        <v>131</v>
      </c>
      <c r="L90" s="20" t="str">
        <f>HYPERLINK("http://slimages.macys.com/is/image/MCY/1064527 ")</f>
        <v xml:space="preserve">http://slimages.macys.com/is/image/MCY/1064527 </v>
      </c>
    </row>
    <row r="91" spans="1:12" x14ac:dyDescent="0.25">
      <c r="A91" s="19" t="s">
        <v>4014</v>
      </c>
      <c r="B91" s="13" t="s">
        <v>4015</v>
      </c>
      <c r="C91" s="8">
        <v>1</v>
      </c>
      <c r="D91" s="9">
        <v>39.99</v>
      </c>
      <c r="E91" s="9">
        <v>39.99</v>
      </c>
      <c r="F91" s="8" t="s">
        <v>4016</v>
      </c>
      <c r="G91" s="13" t="s">
        <v>62</v>
      </c>
      <c r="H91" s="19" t="s">
        <v>40</v>
      </c>
      <c r="I91" s="13" t="s">
        <v>11</v>
      </c>
      <c r="J91" s="13" t="s">
        <v>130</v>
      </c>
      <c r="K91" s="13" t="s">
        <v>131</v>
      </c>
      <c r="L91" s="20" t="str">
        <f>HYPERLINK("http://slimages.macys.com/is/image/MCY/18294084 ")</f>
        <v xml:space="preserve">http://slimages.macys.com/is/image/MCY/18294084 </v>
      </c>
    </row>
    <row r="92" spans="1:12" x14ac:dyDescent="0.25">
      <c r="A92" s="19" t="s">
        <v>4017</v>
      </c>
      <c r="B92" s="13" t="s">
        <v>4018</v>
      </c>
      <c r="C92" s="8">
        <v>1</v>
      </c>
      <c r="D92" s="9">
        <v>27.99</v>
      </c>
      <c r="E92" s="9">
        <v>27.99</v>
      </c>
      <c r="F92" s="8" t="s">
        <v>4019</v>
      </c>
      <c r="G92" s="13" t="s">
        <v>62</v>
      </c>
      <c r="H92" s="19" t="s">
        <v>158</v>
      </c>
      <c r="I92" s="13" t="s">
        <v>11</v>
      </c>
      <c r="J92" s="13" t="s">
        <v>130</v>
      </c>
      <c r="K92" s="13" t="s">
        <v>1662</v>
      </c>
      <c r="L92" s="20" t="str">
        <f>HYPERLINK("http://slimages.macys.com/is/image/MCY/19224669 ")</f>
        <v xml:space="preserve">http://slimages.macys.com/is/image/MCY/19224669 </v>
      </c>
    </row>
    <row r="93" spans="1:12" x14ac:dyDescent="0.25">
      <c r="A93" s="19" t="s">
        <v>2183</v>
      </c>
      <c r="B93" s="13" t="s">
        <v>2184</v>
      </c>
      <c r="C93" s="8">
        <v>1</v>
      </c>
      <c r="D93" s="9">
        <v>24.99</v>
      </c>
      <c r="E93" s="9">
        <v>24.99</v>
      </c>
      <c r="F93" s="8" t="s">
        <v>2185</v>
      </c>
      <c r="G93" s="13" t="s">
        <v>78</v>
      </c>
      <c r="H93" s="19" t="s">
        <v>87</v>
      </c>
      <c r="I93" s="13" t="s">
        <v>11</v>
      </c>
      <c r="J93" s="13" t="s">
        <v>130</v>
      </c>
      <c r="K93" s="13" t="s">
        <v>131</v>
      </c>
      <c r="L93" s="20" t="str">
        <f>HYPERLINK("http://slimages.macys.com/is/image/MCY/19229166 ")</f>
        <v xml:space="preserve">http://slimages.macys.com/is/image/MCY/19229166 </v>
      </c>
    </row>
    <row r="94" spans="1:12" x14ac:dyDescent="0.25">
      <c r="A94" s="19" t="s">
        <v>4032</v>
      </c>
      <c r="B94" s="13" t="s">
        <v>4033</v>
      </c>
      <c r="C94" s="8">
        <v>1</v>
      </c>
      <c r="D94" s="9">
        <v>19.989999999999998</v>
      </c>
      <c r="E94" s="9">
        <v>19.989999999999998</v>
      </c>
      <c r="F94" s="8" t="s">
        <v>3961</v>
      </c>
      <c r="G94" s="13" t="s">
        <v>214</v>
      </c>
      <c r="H94" s="19" t="s">
        <v>47</v>
      </c>
      <c r="I94" s="13" t="s">
        <v>11</v>
      </c>
      <c r="J94" s="13" t="s">
        <v>130</v>
      </c>
      <c r="K94" s="13" t="s">
        <v>131</v>
      </c>
      <c r="L94" s="20" t="str">
        <f>HYPERLINK("http://slimages.macys.com/is/image/MCY/1136597 ")</f>
        <v xml:space="preserve">http://slimages.macys.com/is/image/MCY/1136597 </v>
      </c>
    </row>
    <row r="95" spans="1:12" x14ac:dyDescent="0.25">
      <c r="A95" s="19" t="s">
        <v>4029</v>
      </c>
      <c r="B95" s="13" t="s">
        <v>4030</v>
      </c>
      <c r="C95" s="8">
        <v>1</v>
      </c>
      <c r="D95" s="9">
        <v>21.99</v>
      </c>
      <c r="E95" s="9">
        <v>21.99</v>
      </c>
      <c r="F95" s="8" t="s">
        <v>4031</v>
      </c>
      <c r="G95" s="13" t="s">
        <v>78</v>
      </c>
      <c r="H95" s="19" t="s">
        <v>47</v>
      </c>
      <c r="I95" s="13" t="s">
        <v>11</v>
      </c>
      <c r="J95" s="13" t="s">
        <v>130</v>
      </c>
      <c r="K95" s="13" t="s">
        <v>131</v>
      </c>
      <c r="L95" s="20" t="str">
        <f>HYPERLINK("http://slimages.macys.com/is/image/MCY/19610378 ")</f>
        <v xml:space="preserve">http://slimages.macys.com/is/image/MCY/19610378 </v>
      </c>
    </row>
    <row r="96" spans="1:12" x14ac:dyDescent="0.25">
      <c r="A96" s="19" t="s">
        <v>4026</v>
      </c>
      <c r="B96" s="13" t="s">
        <v>4027</v>
      </c>
      <c r="C96" s="8">
        <v>1</v>
      </c>
      <c r="D96" s="9">
        <v>21.99</v>
      </c>
      <c r="E96" s="9">
        <v>21.99</v>
      </c>
      <c r="F96" s="8" t="s">
        <v>4028</v>
      </c>
      <c r="G96" s="13" t="s">
        <v>83</v>
      </c>
      <c r="H96" s="19" t="s">
        <v>27</v>
      </c>
      <c r="I96" s="13" t="s">
        <v>11</v>
      </c>
      <c r="J96" s="13" t="s">
        <v>130</v>
      </c>
      <c r="K96" s="13" t="s">
        <v>131</v>
      </c>
      <c r="L96" s="20" t="str">
        <f>HYPERLINK("http://slimages.macys.com/is/image/MCY/1017695 ")</f>
        <v xml:space="preserve">http://slimages.macys.com/is/image/MCY/1017695 </v>
      </c>
    </row>
    <row r="97" spans="1:12" x14ac:dyDescent="0.25">
      <c r="A97" s="19" t="s">
        <v>618</v>
      </c>
      <c r="B97" s="13" t="s">
        <v>619</v>
      </c>
      <c r="C97" s="8">
        <v>1</v>
      </c>
      <c r="D97" s="9">
        <v>22.99</v>
      </c>
      <c r="E97" s="9">
        <v>22.99</v>
      </c>
      <c r="F97" s="8" t="s">
        <v>134</v>
      </c>
      <c r="G97" s="13" t="s">
        <v>135</v>
      </c>
      <c r="H97" s="19" t="s">
        <v>87</v>
      </c>
      <c r="I97" s="13" t="s">
        <v>11</v>
      </c>
      <c r="J97" s="13" t="s">
        <v>130</v>
      </c>
      <c r="K97" s="13" t="s">
        <v>131</v>
      </c>
      <c r="L97" s="20" t="str">
        <f>HYPERLINK("http://slimages.macys.com/is/image/MCY/19660777 ")</f>
        <v xml:space="preserve">http://slimages.macys.com/is/image/MCY/19660777 </v>
      </c>
    </row>
    <row r="98" spans="1:12" x14ac:dyDescent="0.25">
      <c r="A98" s="19" t="s">
        <v>612</v>
      </c>
      <c r="B98" s="13" t="s">
        <v>613</v>
      </c>
      <c r="C98" s="8">
        <v>1</v>
      </c>
      <c r="D98" s="9">
        <v>22.99</v>
      </c>
      <c r="E98" s="9">
        <v>22.99</v>
      </c>
      <c r="F98" s="8" t="s">
        <v>134</v>
      </c>
      <c r="G98" s="13" t="s">
        <v>76</v>
      </c>
      <c r="H98" s="19" t="s">
        <v>87</v>
      </c>
      <c r="I98" s="13" t="s">
        <v>11</v>
      </c>
      <c r="J98" s="13" t="s">
        <v>130</v>
      </c>
      <c r="K98" s="13" t="s">
        <v>131</v>
      </c>
      <c r="L98" s="20" t="str">
        <f>HYPERLINK("http://slimages.macys.com/is/image/MCY/20352544 ")</f>
        <v xml:space="preserve">http://slimages.macys.com/is/image/MCY/20352544 </v>
      </c>
    </row>
    <row r="99" spans="1:12" x14ac:dyDescent="0.25">
      <c r="A99" s="19" t="s">
        <v>3905</v>
      </c>
      <c r="B99" s="13" t="s">
        <v>3906</v>
      </c>
      <c r="C99" s="8">
        <v>4</v>
      </c>
      <c r="D99" s="9">
        <v>22.99</v>
      </c>
      <c r="E99" s="9">
        <v>91.96</v>
      </c>
      <c r="F99" s="8" t="s">
        <v>3576</v>
      </c>
      <c r="G99" s="13" t="s">
        <v>102</v>
      </c>
      <c r="H99" s="19" t="s">
        <v>32</v>
      </c>
      <c r="I99" s="13" t="s">
        <v>11</v>
      </c>
      <c r="J99" s="13" t="s">
        <v>130</v>
      </c>
      <c r="K99" s="13" t="s">
        <v>131</v>
      </c>
      <c r="L99" s="20" t="str">
        <f>HYPERLINK("http://slimages.macys.com/is/image/MCY/20352544 ")</f>
        <v xml:space="preserve">http://slimages.macys.com/is/image/MCY/20352544 </v>
      </c>
    </row>
    <row r="100" spans="1:12" x14ac:dyDescent="0.25">
      <c r="A100" s="19" t="s">
        <v>3781</v>
      </c>
      <c r="B100" s="13" t="s">
        <v>3782</v>
      </c>
      <c r="C100" s="8">
        <v>4</v>
      </c>
      <c r="D100" s="9">
        <v>22.99</v>
      </c>
      <c r="E100" s="9">
        <v>91.96</v>
      </c>
      <c r="F100" s="8" t="s">
        <v>3576</v>
      </c>
      <c r="G100" s="13" t="s">
        <v>102</v>
      </c>
      <c r="H100" s="19" t="s">
        <v>55</v>
      </c>
      <c r="I100" s="13" t="s">
        <v>11</v>
      </c>
      <c r="J100" s="13" t="s">
        <v>130</v>
      </c>
      <c r="K100" s="13" t="s">
        <v>131</v>
      </c>
      <c r="L100" s="20" t="str">
        <f>HYPERLINK("http://slimages.macys.com/is/image/MCY/20352544 ")</f>
        <v xml:space="preserve">http://slimages.macys.com/is/image/MCY/20352544 </v>
      </c>
    </row>
    <row r="101" spans="1:12" x14ac:dyDescent="0.25">
      <c r="A101" s="19" t="s">
        <v>3714</v>
      </c>
      <c r="B101" s="13" t="s">
        <v>3715</v>
      </c>
      <c r="C101" s="8">
        <v>2</v>
      </c>
      <c r="D101" s="9">
        <v>22.99</v>
      </c>
      <c r="E101" s="9">
        <v>45.98</v>
      </c>
      <c r="F101" s="8" t="s">
        <v>3576</v>
      </c>
      <c r="G101" s="13" t="s">
        <v>102</v>
      </c>
      <c r="H101" s="19" t="s">
        <v>27</v>
      </c>
      <c r="I101" s="13" t="s">
        <v>11</v>
      </c>
      <c r="J101" s="13" t="s">
        <v>130</v>
      </c>
      <c r="K101" s="13" t="s">
        <v>131</v>
      </c>
      <c r="L101" s="20" t="str">
        <f>HYPERLINK("http://slimages.macys.com/is/image/MCY/20352544 ")</f>
        <v xml:space="preserve">http://slimages.macys.com/is/image/MCY/20352544 </v>
      </c>
    </row>
    <row r="102" spans="1:12" x14ac:dyDescent="0.25">
      <c r="A102" s="19" t="s">
        <v>3716</v>
      </c>
      <c r="B102" s="13" t="s">
        <v>3717</v>
      </c>
      <c r="C102" s="8">
        <v>1</v>
      </c>
      <c r="D102" s="9">
        <v>22.99</v>
      </c>
      <c r="E102" s="9">
        <v>22.99</v>
      </c>
      <c r="F102" s="8" t="s">
        <v>3576</v>
      </c>
      <c r="G102" s="13" t="s">
        <v>102</v>
      </c>
      <c r="H102" s="19" t="s">
        <v>87</v>
      </c>
      <c r="I102" s="13" t="s">
        <v>11</v>
      </c>
      <c r="J102" s="13" t="s">
        <v>130</v>
      </c>
      <c r="K102" s="13" t="s">
        <v>131</v>
      </c>
      <c r="L102" s="20" t="str">
        <f>HYPERLINK("http://slimages.macys.com/is/image/MCY/20352544 ")</f>
        <v xml:space="preserve">http://slimages.macys.com/is/image/MCY/20352544 </v>
      </c>
    </row>
    <row r="103" spans="1:12" x14ac:dyDescent="0.25">
      <c r="A103" s="19" t="s">
        <v>4020</v>
      </c>
      <c r="B103" s="13" t="s">
        <v>4021</v>
      </c>
      <c r="C103" s="8">
        <v>1</v>
      </c>
      <c r="D103" s="9">
        <v>29.99</v>
      </c>
      <c r="E103" s="9">
        <v>29.99</v>
      </c>
      <c r="F103" s="8" t="s">
        <v>4022</v>
      </c>
      <c r="G103" s="13" t="s">
        <v>83</v>
      </c>
      <c r="H103" s="19" t="s">
        <v>55</v>
      </c>
      <c r="I103" s="13" t="s">
        <v>11</v>
      </c>
      <c r="J103" s="13" t="s">
        <v>130</v>
      </c>
      <c r="K103" s="13" t="s">
        <v>131</v>
      </c>
      <c r="L103" s="20" t="str">
        <f>HYPERLINK("http://slimages.macys.com/is/image/MCY/19278456 ")</f>
        <v xml:space="preserve">http://slimages.macys.com/is/image/MCY/19278456 </v>
      </c>
    </row>
    <row r="104" spans="1:12" x14ac:dyDescent="0.25">
      <c r="A104" s="19" t="s">
        <v>4023</v>
      </c>
      <c r="B104" s="13" t="s">
        <v>4024</v>
      </c>
      <c r="C104" s="8">
        <v>1</v>
      </c>
      <c r="D104" s="9">
        <v>29.99</v>
      </c>
      <c r="E104" s="9">
        <v>29.99</v>
      </c>
      <c r="F104" s="8" t="s">
        <v>4025</v>
      </c>
      <c r="G104" s="13" t="s">
        <v>78</v>
      </c>
      <c r="H104" s="19" t="s">
        <v>87</v>
      </c>
      <c r="I104" s="13" t="s">
        <v>11</v>
      </c>
      <c r="J104" s="13" t="s">
        <v>130</v>
      </c>
      <c r="K104" s="13" t="s">
        <v>131</v>
      </c>
      <c r="L104" s="20" t="str">
        <f>HYPERLINK("http://slimages.macys.com/is/image/MCY/19278456 ")</f>
        <v xml:space="preserve">http://slimages.macys.com/is/image/MCY/19278456 </v>
      </c>
    </row>
    <row r="105" spans="1:12" x14ac:dyDescent="0.25">
      <c r="A105" s="19" t="s">
        <v>1161</v>
      </c>
      <c r="B105" s="13" t="s">
        <v>1162</v>
      </c>
      <c r="C105" s="8">
        <v>1</v>
      </c>
      <c r="D105" s="9">
        <v>17.989999999999998</v>
      </c>
      <c r="E105" s="9">
        <v>17.989999999999998</v>
      </c>
      <c r="F105" s="8" t="s">
        <v>1163</v>
      </c>
      <c r="G105" s="13" t="s">
        <v>31</v>
      </c>
      <c r="H105" s="19" t="s">
        <v>47</v>
      </c>
      <c r="I105" s="13" t="s">
        <v>11</v>
      </c>
      <c r="J105" s="13" t="s">
        <v>130</v>
      </c>
      <c r="K105" s="13" t="s">
        <v>131</v>
      </c>
      <c r="L105" s="20" t="str">
        <f>HYPERLINK("http://slimages.macys.com/is/image/MCY/19612262 ")</f>
        <v xml:space="preserve">http://slimages.macys.com/is/image/MCY/19612262 </v>
      </c>
    </row>
    <row r="106" spans="1:12" x14ac:dyDescent="0.25">
      <c r="A106" s="19" t="s">
        <v>3962</v>
      </c>
      <c r="B106" s="13" t="s">
        <v>3963</v>
      </c>
      <c r="C106" s="8">
        <v>2</v>
      </c>
      <c r="D106" s="9">
        <v>19.989999999999998</v>
      </c>
      <c r="E106" s="9">
        <v>39.979999999999997</v>
      </c>
      <c r="F106" s="8" t="s">
        <v>3582</v>
      </c>
      <c r="G106" s="13" t="s">
        <v>102</v>
      </c>
      <c r="H106" s="19" t="s">
        <v>55</v>
      </c>
      <c r="I106" s="13" t="s">
        <v>11</v>
      </c>
      <c r="J106" s="13" t="s">
        <v>130</v>
      </c>
      <c r="K106" s="13" t="s">
        <v>131</v>
      </c>
      <c r="L106" s="20" t="str">
        <f>HYPERLINK("http://slimages.macys.com/is/image/MCY/18531133 ")</f>
        <v xml:space="preserve">http://slimages.macys.com/is/image/MCY/18531133 </v>
      </c>
    </row>
    <row r="107" spans="1:12" x14ac:dyDescent="0.25">
      <c r="A107" s="19" t="s">
        <v>3583</v>
      </c>
      <c r="B107" s="13" t="s">
        <v>3584</v>
      </c>
      <c r="C107" s="8">
        <v>1</v>
      </c>
      <c r="D107" s="9">
        <v>19.989999999999998</v>
      </c>
      <c r="E107" s="9">
        <v>19.989999999999998</v>
      </c>
      <c r="F107" s="8" t="s">
        <v>3582</v>
      </c>
      <c r="G107" s="13" t="s">
        <v>102</v>
      </c>
      <c r="H107" s="19" t="s">
        <v>47</v>
      </c>
      <c r="I107" s="13" t="s">
        <v>11</v>
      </c>
      <c r="J107" s="13" t="s">
        <v>130</v>
      </c>
      <c r="K107" s="13" t="s">
        <v>131</v>
      </c>
      <c r="L107" s="20" t="str">
        <f>HYPERLINK("http://slimages.macys.com/is/image/MCY/18531132 ")</f>
        <v xml:space="preserve">http://slimages.macys.com/is/image/MCY/18531132 </v>
      </c>
    </row>
    <row r="108" spans="1:12" x14ac:dyDescent="0.25">
      <c r="A108" s="19" t="s">
        <v>4219</v>
      </c>
      <c r="B108" s="13" t="s">
        <v>4220</v>
      </c>
      <c r="C108" s="8">
        <v>1</v>
      </c>
      <c r="D108" s="9">
        <v>44.8</v>
      </c>
      <c r="E108" s="9">
        <v>44.8</v>
      </c>
      <c r="F108" s="8" t="s">
        <v>553</v>
      </c>
      <c r="G108" s="13" t="s">
        <v>83</v>
      </c>
      <c r="H108" s="19" t="s">
        <v>227</v>
      </c>
      <c r="I108" s="13" t="s">
        <v>11</v>
      </c>
      <c r="J108" s="13" t="s">
        <v>539</v>
      </c>
      <c r="K108" s="13" t="s">
        <v>551</v>
      </c>
      <c r="L108" s="20" t="str">
        <f>HYPERLINK("http://slimages.macys.com/is/image/MCY/18335135 ")</f>
        <v xml:space="preserve">http://slimages.macys.com/is/image/MCY/18335135 </v>
      </c>
    </row>
    <row r="109" spans="1:12" x14ac:dyDescent="0.25">
      <c r="A109" s="19" t="s">
        <v>3834</v>
      </c>
      <c r="B109" s="13" t="s">
        <v>3835</v>
      </c>
      <c r="C109" s="8">
        <v>1</v>
      </c>
      <c r="D109" s="9">
        <v>34.299999999999997</v>
      </c>
      <c r="E109" s="9">
        <v>34.299999999999997</v>
      </c>
      <c r="F109" s="8" t="s">
        <v>2786</v>
      </c>
      <c r="G109" s="13" t="s">
        <v>230</v>
      </c>
      <c r="H109" s="19" t="s">
        <v>32</v>
      </c>
      <c r="I109" s="13" t="s">
        <v>11</v>
      </c>
      <c r="J109" s="13" t="s">
        <v>539</v>
      </c>
      <c r="K109" s="13" t="s">
        <v>551</v>
      </c>
      <c r="L109" s="20" t="str">
        <f>HYPERLINK("http://slimages.macys.com/is/image/MCY/19106582 ")</f>
        <v xml:space="preserve">http://slimages.macys.com/is/image/MCY/19106582 </v>
      </c>
    </row>
    <row r="110" spans="1:12" x14ac:dyDescent="0.25">
      <c r="A110" s="19" t="s">
        <v>4063</v>
      </c>
      <c r="B110" s="13" t="s">
        <v>964</v>
      </c>
      <c r="C110" s="8">
        <v>1</v>
      </c>
      <c r="D110" s="9">
        <v>99</v>
      </c>
      <c r="E110" s="9">
        <v>99</v>
      </c>
      <c r="F110" s="8" t="s">
        <v>965</v>
      </c>
      <c r="G110" s="13" t="s">
        <v>37</v>
      </c>
      <c r="H110" s="19" t="s">
        <v>1166</v>
      </c>
      <c r="I110" s="13" t="s">
        <v>893</v>
      </c>
      <c r="J110" s="13" t="s">
        <v>233</v>
      </c>
      <c r="K110" s="13" t="s">
        <v>966</v>
      </c>
      <c r="L110" s="20" t="str">
        <f>HYPERLINK("http://images.bloomingdales.com/is/image/BLM/9376032 ")</f>
        <v xml:space="preserve">http://images.bloomingdales.com/is/image/BLM/9376032 </v>
      </c>
    </row>
    <row r="111" spans="1:12" x14ac:dyDescent="0.25">
      <c r="A111" s="19" t="s">
        <v>4174</v>
      </c>
      <c r="B111" s="13" t="s">
        <v>4175</v>
      </c>
      <c r="C111" s="8">
        <v>1</v>
      </c>
      <c r="D111" s="9">
        <v>44</v>
      </c>
      <c r="E111" s="9">
        <v>44</v>
      </c>
      <c r="F111" s="8" t="s">
        <v>4176</v>
      </c>
      <c r="G111" s="13" t="s">
        <v>83</v>
      </c>
      <c r="H111" s="19" t="s">
        <v>227</v>
      </c>
      <c r="I111" s="13" t="s">
        <v>11</v>
      </c>
      <c r="J111" s="13" t="s">
        <v>343</v>
      </c>
      <c r="K111" s="13" t="s">
        <v>344</v>
      </c>
      <c r="L111" s="20" t="str">
        <f>HYPERLINK("http://slimages.macys.com/is/image/MCY/16792547 ")</f>
        <v xml:space="preserve">http://slimages.macys.com/is/image/MCY/16792547 </v>
      </c>
    </row>
    <row r="112" spans="1:12" x14ac:dyDescent="0.25">
      <c r="A112" s="19" t="s">
        <v>4051</v>
      </c>
      <c r="B112" s="13" t="s">
        <v>4052</v>
      </c>
      <c r="C112" s="8">
        <v>2</v>
      </c>
      <c r="D112" s="9">
        <v>25</v>
      </c>
      <c r="E112" s="9">
        <v>50</v>
      </c>
      <c r="F112" s="8" t="s">
        <v>4053</v>
      </c>
      <c r="G112" s="13" t="s">
        <v>346</v>
      </c>
      <c r="H112" s="19" t="s">
        <v>184</v>
      </c>
      <c r="I112" s="13" t="s">
        <v>893</v>
      </c>
      <c r="J112" s="13" t="s">
        <v>959</v>
      </c>
      <c r="K112" s="13" t="s">
        <v>960</v>
      </c>
      <c r="L112" s="20" t="str">
        <f>HYPERLINK("http://images.bloomingdales.com/is/image/BLM/9876301 ")</f>
        <v xml:space="preserve">http://images.bloomingdales.com/is/image/BLM/9876301 </v>
      </c>
    </row>
    <row r="113" spans="1:12" x14ac:dyDescent="0.25">
      <c r="A113" s="19" t="s">
        <v>994</v>
      </c>
      <c r="B113" s="13" t="s">
        <v>995</v>
      </c>
      <c r="C113" s="8">
        <v>1</v>
      </c>
      <c r="D113" s="9">
        <v>32.99</v>
      </c>
      <c r="E113" s="9">
        <v>32.99</v>
      </c>
      <c r="F113" s="8">
        <v>100070476</v>
      </c>
      <c r="G113" s="13" t="s">
        <v>122</v>
      </c>
      <c r="H113" s="19" t="s">
        <v>40</v>
      </c>
      <c r="I113" s="13" t="s">
        <v>11</v>
      </c>
      <c r="J113" s="13" t="s">
        <v>260</v>
      </c>
      <c r="K113" s="13" t="s">
        <v>261</v>
      </c>
      <c r="L113" s="20" t="str">
        <f>HYPERLINK("http://slimages.macys.com/is/image/MCY/13812455 ")</f>
        <v xml:space="preserve">http://slimages.macys.com/is/image/MCY/13812455 </v>
      </c>
    </row>
    <row r="114" spans="1:12" x14ac:dyDescent="0.25">
      <c r="A114" s="19" t="s">
        <v>4102</v>
      </c>
      <c r="B114" s="13" t="s">
        <v>4103</v>
      </c>
      <c r="C114" s="8">
        <v>1</v>
      </c>
      <c r="D114" s="9">
        <v>32.99</v>
      </c>
      <c r="E114" s="9">
        <v>32.99</v>
      </c>
      <c r="F114" s="8">
        <v>100070476</v>
      </c>
      <c r="G114" s="13" t="s">
        <v>122</v>
      </c>
      <c r="H114" s="19" t="s">
        <v>87</v>
      </c>
      <c r="I114" s="13" t="s">
        <v>11</v>
      </c>
      <c r="J114" s="13" t="s">
        <v>260</v>
      </c>
      <c r="K114" s="13" t="s">
        <v>261</v>
      </c>
      <c r="L114" s="20" t="str">
        <f>HYPERLINK("http://slimages.macys.com/is/image/MCY/13812455 ")</f>
        <v xml:space="preserve">http://slimages.macys.com/is/image/MCY/13812455 </v>
      </c>
    </row>
    <row r="115" spans="1:12" x14ac:dyDescent="0.25">
      <c r="A115" s="19" t="s">
        <v>4104</v>
      </c>
      <c r="B115" s="13" t="s">
        <v>4105</v>
      </c>
      <c r="C115" s="8">
        <v>1</v>
      </c>
      <c r="D115" s="9">
        <v>32.99</v>
      </c>
      <c r="E115" s="9">
        <v>32.99</v>
      </c>
      <c r="F115" s="8">
        <v>100127598</v>
      </c>
      <c r="G115" s="13" t="s">
        <v>122</v>
      </c>
      <c r="H115" s="19" t="s">
        <v>32</v>
      </c>
      <c r="I115" s="13" t="s">
        <v>11</v>
      </c>
      <c r="J115" s="13" t="s">
        <v>260</v>
      </c>
      <c r="K115" s="13" t="s">
        <v>261</v>
      </c>
      <c r="L115" s="20" t="str">
        <f>HYPERLINK("http://slimages.macys.com/is/image/MCY/19163090 ")</f>
        <v xml:space="preserve">http://slimages.macys.com/is/image/MCY/19163090 </v>
      </c>
    </row>
    <row r="116" spans="1:12" x14ac:dyDescent="0.25">
      <c r="A116" s="19" t="s">
        <v>1688</v>
      </c>
      <c r="B116" s="13" t="s">
        <v>3640</v>
      </c>
      <c r="C116" s="8">
        <v>1</v>
      </c>
      <c r="D116" s="9">
        <v>58</v>
      </c>
      <c r="E116" s="9">
        <v>58</v>
      </c>
      <c r="F116" s="8">
        <v>900635</v>
      </c>
      <c r="G116" s="13" t="s">
        <v>31</v>
      </c>
      <c r="H116" s="19" t="s">
        <v>32</v>
      </c>
      <c r="I116" s="13" t="s">
        <v>11</v>
      </c>
      <c r="J116" s="13" t="s">
        <v>343</v>
      </c>
      <c r="K116" s="13" t="s">
        <v>354</v>
      </c>
      <c r="L116" s="20" t="str">
        <f>HYPERLINK("http://slimages.macys.com/is/image/MCY/19539395 ")</f>
        <v xml:space="preserve">http://slimages.macys.com/is/image/MCY/19539395 </v>
      </c>
    </row>
    <row r="117" spans="1:12" x14ac:dyDescent="0.25">
      <c r="A117" s="19" t="s">
        <v>4181</v>
      </c>
      <c r="B117" s="13" t="s">
        <v>2562</v>
      </c>
      <c r="C117" s="8">
        <v>1</v>
      </c>
      <c r="D117" s="9">
        <v>33.6</v>
      </c>
      <c r="E117" s="9">
        <v>33.6</v>
      </c>
      <c r="F117" s="8">
        <v>900262</v>
      </c>
      <c r="G117" s="13" t="s">
        <v>62</v>
      </c>
      <c r="H117" s="19" t="s">
        <v>32</v>
      </c>
      <c r="I117" s="13" t="s">
        <v>11</v>
      </c>
      <c r="J117" s="13" t="s">
        <v>343</v>
      </c>
      <c r="K117" s="13" t="s">
        <v>354</v>
      </c>
      <c r="L117" s="20" t="str">
        <f>HYPERLINK("http://slimages.macys.com/is/image/MCY/17455028 ")</f>
        <v xml:space="preserve">http://slimages.macys.com/is/image/MCY/17455028 </v>
      </c>
    </row>
    <row r="118" spans="1:12" x14ac:dyDescent="0.25">
      <c r="A118" s="19" t="s">
        <v>4197</v>
      </c>
      <c r="B118" s="13" t="s">
        <v>4198</v>
      </c>
      <c r="C118" s="8">
        <v>1</v>
      </c>
      <c r="D118" s="9">
        <v>58</v>
      </c>
      <c r="E118" s="9">
        <v>58</v>
      </c>
      <c r="F118" s="8">
        <v>900631</v>
      </c>
      <c r="G118" s="13" t="s">
        <v>44</v>
      </c>
      <c r="H118" s="19" t="s">
        <v>55</v>
      </c>
      <c r="I118" s="13" t="s">
        <v>11</v>
      </c>
      <c r="J118" s="13" t="s">
        <v>343</v>
      </c>
      <c r="K118" s="13" t="s">
        <v>354</v>
      </c>
      <c r="L118" s="20" t="str">
        <f>HYPERLINK("http://slimages.macys.com/is/image/MCY/19735511 ")</f>
        <v xml:space="preserve">http://slimages.macys.com/is/image/MCY/19735511 </v>
      </c>
    </row>
    <row r="119" spans="1:12" x14ac:dyDescent="0.25">
      <c r="A119" s="19" t="s">
        <v>4177</v>
      </c>
      <c r="B119" s="13" t="s">
        <v>4178</v>
      </c>
      <c r="C119" s="8">
        <v>1</v>
      </c>
      <c r="D119" s="9">
        <v>48</v>
      </c>
      <c r="E119" s="9">
        <v>48</v>
      </c>
      <c r="F119" s="8">
        <v>900585</v>
      </c>
      <c r="G119" s="13" t="s">
        <v>31</v>
      </c>
      <c r="H119" s="19" t="s">
        <v>32</v>
      </c>
      <c r="I119" s="13" t="s">
        <v>11</v>
      </c>
      <c r="J119" s="13" t="s">
        <v>343</v>
      </c>
      <c r="K119" s="13" t="s">
        <v>354</v>
      </c>
      <c r="L119" s="20" t="str">
        <f>HYPERLINK("http://slimages.macys.com/is/image/MCY/18827242 ")</f>
        <v xml:space="preserve">http://slimages.macys.com/is/image/MCY/18827242 </v>
      </c>
    </row>
    <row r="120" spans="1:12" x14ac:dyDescent="0.25">
      <c r="A120" s="19" t="s">
        <v>369</v>
      </c>
      <c r="B120" s="13" t="s">
        <v>370</v>
      </c>
      <c r="C120" s="8">
        <v>1</v>
      </c>
      <c r="D120" s="9">
        <v>26.11</v>
      </c>
      <c r="E120" s="9">
        <v>26.11</v>
      </c>
      <c r="F120" s="8">
        <v>900585</v>
      </c>
      <c r="G120" s="13" t="s">
        <v>349</v>
      </c>
      <c r="H120" s="19" t="s">
        <v>32</v>
      </c>
      <c r="I120" s="13" t="s">
        <v>11</v>
      </c>
      <c r="J120" s="13" t="s">
        <v>343</v>
      </c>
      <c r="K120" s="13" t="s">
        <v>354</v>
      </c>
      <c r="L120" s="20" t="str">
        <f>HYPERLINK("http://slimages.macys.com/is/image/MCY/18827248 ")</f>
        <v xml:space="preserve">http://slimages.macys.com/is/image/MCY/18827248 </v>
      </c>
    </row>
    <row r="121" spans="1:12" x14ac:dyDescent="0.25">
      <c r="A121" s="19" t="s">
        <v>3939</v>
      </c>
      <c r="B121" s="13" t="s">
        <v>3940</v>
      </c>
      <c r="C121" s="8">
        <v>2</v>
      </c>
      <c r="D121" s="9">
        <v>20</v>
      </c>
      <c r="E121" s="9">
        <v>40</v>
      </c>
      <c r="F121" s="8">
        <v>900582</v>
      </c>
      <c r="G121" s="13" t="s">
        <v>31</v>
      </c>
      <c r="H121" s="19" t="s">
        <v>32</v>
      </c>
      <c r="I121" s="13" t="s">
        <v>11</v>
      </c>
      <c r="J121" s="13" t="s">
        <v>343</v>
      </c>
      <c r="K121" s="13" t="s">
        <v>354</v>
      </c>
      <c r="L121" s="20" t="str">
        <f>HYPERLINK("http://slimages.macys.com/is/image/MCY/18827350 ")</f>
        <v xml:space="preserve">http://slimages.macys.com/is/image/MCY/18827350 </v>
      </c>
    </row>
    <row r="122" spans="1:12" x14ac:dyDescent="0.25">
      <c r="A122" s="19" t="s">
        <v>4199</v>
      </c>
      <c r="B122" s="13" t="s">
        <v>4200</v>
      </c>
      <c r="C122" s="8">
        <v>1</v>
      </c>
      <c r="D122" s="9">
        <v>20</v>
      </c>
      <c r="E122" s="9">
        <v>20</v>
      </c>
      <c r="F122" s="8">
        <v>900582</v>
      </c>
      <c r="G122" s="13" t="s">
        <v>31</v>
      </c>
      <c r="H122" s="19" t="s">
        <v>55</v>
      </c>
      <c r="I122" s="13" t="s">
        <v>11</v>
      </c>
      <c r="J122" s="13" t="s">
        <v>343</v>
      </c>
      <c r="K122" s="13" t="s">
        <v>354</v>
      </c>
      <c r="L122" s="20" t="str">
        <f>HYPERLINK("http://slimages.macys.com/is/image/MCY/18827350 ")</f>
        <v xml:space="preserve">http://slimages.macys.com/is/image/MCY/18827350 </v>
      </c>
    </row>
    <row r="123" spans="1:12" x14ac:dyDescent="0.25">
      <c r="A123" s="19" t="s">
        <v>974</v>
      </c>
      <c r="B123" s="13" t="s">
        <v>975</v>
      </c>
      <c r="C123" s="8">
        <v>1</v>
      </c>
      <c r="D123" s="9">
        <v>54</v>
      </c>
      <c r="E123" s="9">
        <v>54</v>
      </c>
      <c r="F123" s="8" t="s">
        <v>239</v>
      </c>
      <c r="G123" s="13" t="s">
        <v>78</v>
      </c>
      <c r="H123" s="19" t="s">
        <v>55</v>
      </c>
      <c r="I123" s="13" t="s">
        <v>11</v>
      </c>
      <c r="J123" s="13" t="s">
        <v>240</v>
      </c>
      <c r="K123" s="13" t="s">
        <v>241</v>
      </c>
      <c r="L123" s="20" t="str">
        <f>HYPERLINK("http://slimages.macys.com/is/image/MCY/19909656 ")</f>
        <v xml:space="preserve">http://slimages.macys.com/is/image/MCY/19909656 </v>
      </c>
    </row>
    <row r="124" spans="1:12" x14ac:dyDescent="0.25">
      <c r="A124" s="19" t="s">
        <v>4091</v>
      </c>
      <c r="B124" s="13" t="s">
        <v>4092</v>
      </c>
      <c r="C124" s="8">
        <v>1</v>
      </c>
      <c r="D124" s="9">
        <v>37.5</v>
      </c>
      <c r="E124" s="9">
        <v>37.5</v>
      </c>
      <c r="F124" s="8" t="s">
        <v>4093</v>
      </c>
      <c r="G124" s="13" t="s">
        <v>62</v>
      </c>
      <c r="H124" s="19" t="s">
        <v>40</v>
      </c>
      <c r="I124" s="13" t="s">
        <v>11</v>
      </c>
      <c r="J124" s="13" t="s">
        <v>240</v>
      </c>
      <c r="K124" s="13" t="s">
        <v>241</v>
      </c>
      <c r="L124" s="20" t="str">
        <f>HYPERLINK("http://slimages.macys.com/is/image/MCY/19148053 ")</f>
        <v xml:space="preserve">http://slimages.macys.com/is/image/MCY/19148053 </v>
      </c>
    </row>
    <row r="125" spans="1:12" x14ac:dyDescent="0.25">
      <c r="A125" s="19" t="s">
        <v>4094</v>
      </c>
      <c r="B125" s="13" t="s">
        <v>4095</v>
      </c>
      <c r="C125" s="8">
        <v>1</v>
      </c>
      <c r="D125" s="9">
        <v>36</v>
      </c>
      <c r="E125" s="9">
        <v>36</v>
      </c>
      <c r="F125" s="8" t="s">
        <v>3108</v>
      </c>
      <c r="G125" s="13" t="s">
        <v>349</v>
      </c>
      <c r="H125" s="19" t="s">
        <v>55</v>
      </c>
      <c r="I125" s="13" t="s">
        <v>11</v>
      </c>
      <c r="J125" s="13" t="s">
        <v>240</v>
      </c>
      <c r="K125" s="13" t="s">
        <v>241</v>
      </c>
      <c r="L125" s="20" t="str">
        <f>HYPERLINK("http://slimages.macys.com/is/image/MCY/18531248 ")</f>
        <v xml:space="preserve">http://slimages.macys.com/is/image/MCY/18531248 </v>
      </c>
    </row>
    <row r="126" spans="1:12" x14ac:dyDescent="0.25">
      <c r="A126" s="19" t="s">
        <v>249</v>
      </c>
      <c r="B126" s="13" t="s">
        <v>250</v>
      </c>
      <c r="C126" s="8">
        <v>1</v>
      </c>
      <c r="D126" s="9">
        <v>37.5</v>
      </c>
      <c r="E126" s="9">
        <v>37.5</v>
      </c>
      <c r="F126" s="8" t="s">
        <v>251</v>
      </c>
      <c r="G126" s="13" t="s">
        <v>82</v>
      </c>
      <c r="H126" s="19" t="s">
        <v>40</v>
      </c>
      <c r="I126" s="13" t="s">
        <v>11</v>
      </c>
      <c r="J126" s="13" t="s">
        <v>240</v>
      </c>
      <c r="K126" s="13" t="s">
        <v>241</v>
      </c>
      <c r="L126" s="20" t="str">
        <f>HYPERLINK("http://slimages.macys.com/is/image/MCY/19106954 ")</f>
        <v xml:space="preserve">http://slimages.macys.com/is/image/MCY/19106954 </v>
      </c>
    </row>
    <row r="127" spans="1:12" x14ac:dyDescent="0.25">
      <c r="A127" s="19" t="s">
        <v>1176</v>
      </c>
      <c r="B127" s="13" t="s">
        <v>1177</v>
      </c>
      <c r="C127" s="8">
        <v>1</v>
      </c>
      <c r="D127" s="9">
        <v>58.5</v>
      </c>
      <c r="E127" s="9">
        <v>58.5</v>
      </c>
      <c r="F127" s="8" t="s">
        <v>973</v>
      </c>
      <c r="G127" s="13" t="s">
        <v>124</v>
      </c>
      <c r="H127" s="19" t="s">
        <v>40</v>
      </c>
      <c r="I127" s="13" t="s">
        <v>11</v>
      </c>
      <c r="J127" s="13" t="s">
        <v>240</v>
      </c>
      <c r="K127" s="13" t="s">
        <v>241</v>
      </c>
      <c r="L127" s="20" t="str">
        <f>HYPERLINK("http://slimages.macys.com/is/image/MCY/19909625 ")</f>
        <v xml:space="preserve">http://slimages.macys.com/is/image/MCY/19909625 </v>
      </c>
    </row>
    <row r="128" spans="1:12" x14ac:dyDescent="0.25">
      <c r="A128" s="19" t="s">
        <v>3720</v>
      </c>
      <c r="B128" s="13" t="s">
        <v>3721</v>
      </c>
      <c r="C128" s="8">
        <v>1</v>
      </c>
      <c r="D128" s="9">
        <v>48</v>
      </c>
      <c r="E128" s="9">
        <v>48</v>
      </c>
      <c r="F128" s="8" t="s">
        <v>3097</v>
      </c>
      <c r="G128" s="13" t="s">
        <v>31</v>
      </c>
      <c r="H128" s="19" t="s">
        <v>2301</v>
      </c>
      <c r="I128" s="13" t="s">
        <v>11</v>
      </c>
      <c r="J128" s="13" t="s">
        <v>240</v>
      </c>
      <c r="K128" s="13" t="s">
        <v>241</v>
      </c>
      <c r="L128" s="20" t="str">
        <f>HYPERLINK("http://slimages.macys.com/is/image/MCY/9038875 ")</f>
        <v xml:space="preserve">http://slimages.macys.com/is/image/MCY/9038875 </v>
      </c>
    </row>
    <row r="129" spans="1:12" x14ac:dyDescent="0.25">
      <c r="A129" s="19" t="s">
        <v>4077</v>
      </c>
      <c r="B129" s="13" t="s">
        <v>4078</v>
      </c>
      <c r="C129" s="8">
        <v>1</v>
      </c>
      <c r="D129" s="9">
        <v>46</v>
      </c>
      <c r="E129" s="9">
        <v>46</v>
      </c>
      <c r="F129" s="8">
        <v>71812</v>
      </c>
      <c r="G129" s="13" t="s">
        <v>62</v>
      </c>
      <c r="H129" s="19" t="s">
        <v>55</v>
      </c>
      <c r="I129" s="13" t="s">
        <v>893</v>
      </c>
      <c r="J129" s="13" t="s">
        <v>233</v>
      </c>
      <c r="K129" s="13" t="s">
        <v>962</v>
      </c>
      <c r="L129" s="20" t="str">
        <f>HYPERLINK("http://images.bloomingdales.com/is/image/BLM/1038594 ")</f>
        <v xml:space="preserve">http://images.bloomingdales.com/is/image/BLM/1038594 </v>
      </c>
    </row>
    <row r="130" spans="1:12" x14ac:dyDescent="0.25">
      <c r="A130" s="19" t="s">
        <v>4079</v>
      </c>
      <c r="B130" s="13" t="s">
        <v>4080</v>
      </c>
      <c r="C130" s="8">
        <v>1</v>
      </c>
      <c r="D130" s="9">
        <v>46</v>
      </c>
      <c r="E130" s="9">
        <v>46</v>
      </c>
      <c r="F130" s="8">
        <v>71812</v>
      </c>
      <c r="G130" s="13" t="s">
        <v>62</v>
      </c>
      <c r="H130" s="19" t="s">
        <v>27</v>
      </c>
      <c r="I130" s="13" t="s">
        <v>893</v>
      </c>
      <c r="J130" s="13" t="s">
        <v>233</v>
      </c>
      <c r="K130" s="13" t="s">
        <v>962</v>
      </c>
      <c r="L130" s="20" t="str">
        <f>HYPERLINK("http://images.bloomingdales.com/is/image/BLM/1038594 ")</f>
        <v xml:space="preserve">http://images.bloomingdales.com/is/image/BLM/1038594 </v>
      </c>
    </row>
    <row r="131" spans="1:12" x14ac:dyDescent="0.25">
      <c r="A131" s="19" t="s">
        <v>4170</v>
      </c>
      <c r="B131" s="13" t="s">
        <v>4171</v>
      </c>
      <c r="C131" s="8">
        <v>1</v>
      </c>
      <c r="D131" s="9">
        <v>48</v>
      </c>
      <c r="E131" s="9">
        <v>48</v>
      </c>
      <c r="F131" s="8">
        <v>57949</v>
      </c>
      <c r="G131" s="13" t="s">
        <v>357</v>
      </c>
      <c r="H131" s="19" t="s">
        <v>32</v>
      </c>
      <c r="I131" s="13" t="s">
        <v>11</v>
      </c>
      <c r="J131" s="13" t="s">
        <v>343</v>
      </c>
      <c r="K131" s="13" t="s">
        <v>347</v>
      </c>
      <c r="L131" s="20" t="str">
        <f>HYPERLINK("http://slimages.macys.com/is/image/MCY/18394703 ")</f>
        <v xml:space="preserve">http://slimages.macys.com/is/image/MCY/18394703 </v>
      </c>
    </row>
    <row r="132" spans="1:12" x14ac:dyDescent="0.25">
      <c r="A132" s="19" t="s">
        <v>355</v>
      </c>
      <c r="B132" s="13" t="s">
        <v>356</v>
      </c>
      <c r="C132" s="8">
        <v>1</v>
      </c>
      <c r="D132" s="9">
        <v>48</v>
      </c>
      <c r="E132" s="9">
        <v>48</v>
      </c>
      <c r="F132" s="8">
        <v>57949</v>
      </c>
      <c r="G132" s="13" t="s">
        <v>357</v>
      </c>
      <c r="H132" s="19" t="s">
        <v>27</v>
      </c>
      <c r="I132" s="13" t="s">
        <v>11</v>
      </c>
      <c r="J132" s="13" t="s">
        <v>343</v>
      </c>
      <c r="K132" s="13" t="s">
        <v>347</v>
      </c>
      <c r="L132" s="20" t="str">
        <f>HYPERLINK("http://slimages.macys.com/is/image/MCY/18394703 ")</f>
        <v xml:space="preserve">http://slimages.macys.com/is/image/MCY/18394703 </v>
      </c>
    </row>
    <row r="133" spans="1:12" x14ac:dyDescent="0.25">
      <c r="A133" s="19" t="s">
        <v>352</v>
      </c>
      <c r="B133" s="13" t="s">
        <v>353</v>
      </c>
      <c r="C133" s="8">
        <v>1</v>
      </c>
      <c r="D133" s="9">
        <v>54</v>
      </c>
      <c r="E133" s="9">
        <v>54</v>
      </c>
      <c r="F133" s="8">
        <v>18988</v>
      </c>
      <c r="G133" s="13" t="s">
        <v>44</v>
      </c>
      <c r="H133" s="19" t="s">
        <v>55</v>
      </c>
      <c r="I133" s="13" t="s">
        <v>11</v>
      </c>
      <c r="J133" s="13" t="s">
        <v>343</v>
      </c>
      <c r="K133" s="13" t="s">
        <v>347</v>
      </c>
      <c r="L133" s="20" t="str">
        <f>HYPERLINK("http://slimages.macys.com/is/image/MCY/18743454 ")</f>
        <v xml:space="preserve">http://slimages.macys.com/is/image/MCY/18743454 </v>
      </c>
    </row>
    <row r="134" spans="1:12" x14ac:dyDescent="0.25">
      <c r="A134" s="19" t="s">
        <v>4168</v>
      </c>
      <c r="B134" s="13" t="s">
        <v>4169</v>
      </c>
      <c r="C134" s="8">
        <v>2</v>
      </c>
      <c r="D134" s="9">
        <v>54</v>
      </c>
      <c r="E134" s="9">
        <v>108</v>
      </c>
      <c r="F134" s="8">
        <v>18988</v>
      </c>
      <c r="G134" s="13" t="s">
        <v>169</v>
      </c>
      <c r="H134" s="19" t="s">
        <v>55</v>
      </c>
      <c r="I134" s="13" t="s">
        <v>11</v>
      </c>
      <c r="J134" s="13" t="s">
        <v>343</v>
      </c>
      <c r="K134" s="13" t="s">
        <v>347</v>
      </c>
      <c r="L134" s="20" t="str">
        <f>HYPERLINK("http://slimages.macys.com/is/image/MCY/18743454 ")</f>
        <v xml:space="preserve">http://slimages.macys.com/is/image/MCY/18743454 </v>
      </c>
    </row>
    <row r="135" spans="1:12" x14ac:dyDescent="0.25">
      <c r="A135" s="19" t="s">
        <v>4166</v>
      </c>
      <c r="B135" s="13" t="s">
        <v>4167</v>
      </c>
      <c r="C135" s="8">
        <v>1</v>
      </c>
      <c r="D135" s="9">
        <v>54</v>
      </c>
      <c r="E135" s="9">
        <v>54</v>
      </c>
      <c r="F135" s="8">
        <v>94167</v>
      </c>
      <c r="G135" s="13" t="s">
        <v>357</v>
      </c>
      <c r="H135" s="19" t="s">
        <v>40</v>
      </c>
      <c r="I135" s="13" t="s">
        <v>11</v>
      </c>
      <c r="J135" s="13" t="s">
        <v>343</v>
      </c>
      <c r="K135" s="13" t="s">
        <v>347</v>
      </c>
      <c r="L135" s="20" t="str">
        <f>HYPERLINK("http://slimages.macys.com/is/image/MCY/18151616 ")</f>
        <v xml:space="preserve">http://slimages.macys.com/is/image/MCY/18151616 </v>
      </c>
    </row>
    <row r="136" spans="1:12" x14ac:dyDescent="0.25">
      <c r="A136" s="19" t="s">
        <v>4190</v>
      </c>
      <c r="B136" s="13" t="s">
        <v>4191</v>
      </c>
      <c r="C136" s="8">
        <v>1</v>
      </c>
      <c r="D136" s="9">
        <v>24.99</v>
      </c>
      <c r="E136" s="9">
        <v>24.99</v>
      </c>
      <c r="F136" s="8" t="s">
        <v>4192</v>
      </c>
      <c r="G136" s="13" t="s">
        <v>346</v>
      </c>
      <c r="H136" s="19" t="s">
        <v>32</v>
      </c>
      <c r="I136" s="13" t="s">
        <v>11</v>
      </c>
      <c r="J136" s="13" t="s">
        <v>343</v>
      </c>
      <c r="K136" s="13" t="s">
        <v>372</v>
      </c>
      <c r="L136" s="20" t="str">
        <f>HYPERLINK("http://slimages.macys.com/is/image/MCY/19301369 ")</f>
        <v xml:space="preserve">http://slimages.macys.com/is/image/MCY/19301369 </v>
      </c>
    </row>
    <row r="137" spans="1:12" x14ac:dyDescent="0.25">
      <c r="A137" s="19" t="s">
        <v>4193</v>
      </c>
      <c r="B137" s="13" t="s">
        <v>4194</v>
      </c>
      <c r="C137" s="8">
        <v>1</v>
      </c>
      <c r="D137" s="9">
        <v>24.99</v>
      </c>
      <c r="E137" s="9">
        <v>24.99</v>
      </c>
      <c r="F137" s="8" t="s">
        <v>4192</v>
      </c>
      <c r="G137" s="13" t="s">
        <v>346</v>
      </c>
      <c r="H137" s="19" t="s">
        <v>40</v>
      </c>
      <c r="I137" s="13" t="s">
        <v>11</v>
      </c>
      <c r="J137" s="13" t="s">
        <v>343</v>
      </c>
      <c r="K137" s="13" t="s">
        <v>372</v>
      </c>
      <c r="L137" s="20" t="str">
        <f>HYPERLINK("http://slimages.macys.com/is/image/MCY/19301369 ")</f>
        <v xml:space="preserve">http://slimages.macys.com/is/image/MCY/19301369 </v>
      </c>
    </row>
    <row r="138" spans="1:12" x14ac:dyDescent="0.25">
      <c r="A138" s="19" t="s">
        <v>4195</v>
      </c>
      <c r="B138" s="13" t="s">
        <v>4196</v>
      </c>
      <c r="C138" s="8">
        <v>1</v>
      </c>
      <c r="D138" s="9">
        <v>26.11</v>
      </c>
      <c r="E138" s="9">
        <v>26.11</v>
      </c>
      <c r="F138" s="8" t="s">
        <v>4192</v>
      </c>
      <c r="G138" s="13" t="s">
        <v>346</v>
      </c>
      <c r="H138" s="19" t="s">
        <v>55</v>
      </c>
      <c r="I138" s="13" t="s">
        <v>11</v>
      </c>
      <c r="J138" s="13" t="s">
        <v>343</v>
      </c>
      <c r="K138" s="13" t="s">
        <v>372</v>
      </c>
      <c r="L138" s="20" t="str">
        <f>HYPERLINK("http://slimages.macys.com/is/image/MCY/19301369 ")</f>
        <v xml:space="preserve">http://slimages.macys.com/is/image/MCY/19301369 </v>
      </c>
    </row>
    <row r="139" spans="1:12" x14ac:dyDescent="0.25">
      <c r="A139" s="19" t="s">
        <v>3728</v>
      </c>
      <c r="B139" s="13" t="s">
        <v>3729</v>
      </c>
      <c r="C139" s="8">
        <v>5</v>
      </c>
      <c r="D139" s="9">
        <v>49.99</v>
      </c>
      <c r="E139" s="9">
        <v>249.95</v>
      </c>
      <c r="F139" s="8" t="s">
        <v>3727</v>
      </c>
      <c r="G139" s="13" t="s">
        <v>122</v>
      </c>
      <c r="H139" s="19" t="s">
        <v>32</v>
      </c>
      <c r="I139" s="13" t="s">
        <v>11</v>
      </c>
      <c r="J139" s="13" t="s">
        <v>263</v>
      </c>
      <c r="K139" s="13" t="s">
        <v>264</v>
      </c>
      <c r="L139" s="20" t="str">
        <f>HYPERLINK("http://slimages.macys.com/is/image/MCY/20706226 ")</f>
        <v xml:space="preserve">http://slimages.macys.com/is/image/MCY/20706226 </v>
      </c>
    </row>
    <row r="140" spans="1:12" x14ac:dyDescent="0.25">
      <c r="A140" s="19" t="s">
        <v>3858</v>
      </c>
      <c r="B140" s="13" t="s">
        <v>3859</v>
      </c>
      <c r="C140" s="8">
        <v>2</v>
      </c>
      <c r="D140" s="9">
        <v>49.99</v>
      </c>
      <c r="E140" s="9">
        <v>99.98</v>
      </c>
      <c r="F140" s="8" t="s">
        <v>3727</v>
      </c>
      <c r="G140" s="13" t="s">
        <v>122</v>
      </c>
      <c r="H140" s="19" t="s">
        <v>40</v>
      </c>
      <c r="I140" s="13" t="s">
        <v>11</v>
      </c>
      <c r="J140" s="13" t="s">
        <v>263</v>
      </c>
      <c r="K140" s="13" t="s">
        <v>264</v>
      </c>
      <c r="L140" s="20" t="str">
        <f>HYPERLINK("http://slimages.macys.com/is/image/MCY/20706226 ")</f>
        <v xml:space="preserve">http://slimages.macys.com/is/image/MCY/20706226 </v>
      </c>
    </row>
    <row r="141" spans="1:12" x14ac:dyDescent="0.25">
      <c r="A141" s="19" t="s">
        <v>3964</v>
      </c>
      <c r="B141" s="13" t="s">
        <v>3965</v>
      </c>
      <c r="C141" s="8">
        <v>1</v>
      </c>
      <c r="D141" s="9">
        <v>49.99</v>
      </c>
      <c r="E141" s="9">
        <v>49.99</v>
      </c>
      <c r="F141" s="8" t="s">
        <v>3727</v>
      </c>
      <c r="G141" s="13" t="s">
        <v>122</v>
      </c>
      <c r="H141" s="19" t="s">
        <v>55</v>
      </c>
      <c r="I141" s="13" t="s">
        <v>11</v>
      </c>
      <c r="J141" s="13" t="s">
        <v>263</v>
      </c>
      <c r="K141" s="13" t="s">
        <v>264</v>
      </c>
      <c r="L141" s="20" t="str">
        <f>HYPERLINK("http://slimages.macys.com/is/image/MCY/20706226 ")</f>
        <v xml:space="preserve">http://slimages.macys.com/is/image/MCY/20706226 </v>
      </c>
    </row>
    <row r="142" spans="1:12" x14ac:dyDescent="0.25">
      <c r="A142" s="19" t="s">
        <v>3730</v>
      </c>
      <c r="B142" s="13" t="s">
        <v>3731</v>
      </c>
      <c r="C142" s="8">
        <v>1</v>
      </c>
      <c r="D142" s="9">
        <v>49.99</v>
      </c>
      <c r="E142" s="9">
        <v>49.99</v>
      </c>
      <c r="F142" s="8" t="s">
        <v>3727</v>
      </c>
      <c r="G142" s="13" t="s">
        <v>122</v>
      </c>
      <c r="H142" s="19" t="s">
        <v>27</v>
      </c>
      <c r="I142" s="13" t="s">
        <v>11</v>
      </c>
      <c r="J142" s="13" t="s">
        <v>263</v>
      </c>
      <c r="K142" s="13" t="s">
        <v>264</v>
      </c>
      <c r="L142" s="20" t="str">
        <f>HYPERLINK("http://slimages.macys.com/is/image/MCY/20706226 ")</f>
        <v xml:space="preserve">http://slimages.macys.com/is/image/MCY/20706226 </v>
      </c>
    </row>
    <row r="143" spans="1:12" x14ac:dyDescent="0.25">
      <c r="A143" s="19" t="s">
        <v>3725</v>
      </c>
      <c r="B143" s="13" t="s">
        <v>3726</v>
      </c>
      <c r="C143" s="8">
        <v>1</v>
      </c>
      <c r="D143" s="9">
        <v>49.99</v>
      </c>
      <c r="E143" s="9">
        <v>49.99</v>
      </c>
      <c r="F143" s="8" t="s">
        <v>3727</v>
      </c>
      <c r="G143" s="13" t="s">
        <v>122</v>
      </c>
      <c r="H143" s="19" t="s">
        <v>87</v>
      </c>
      <c r="I143" s="13" t="s">
        <v>11</v>
      </c>
      <c r="J143" s="13" t="s">
        <v>263</v>
      </c>
      <c r="K143" s="13" t="s">
        <v>264</v>
      </c>
      <c r="L143" s="20" t="str">
        <f>HYPERLINK("http://slimages.macys.com/is/image/MCY/20706226 ")</f>
        <v xml:space="preserve">http://slimages.macys.com/is/image/MCY/20706226 </v>
      </c>
    </row>
    <row r="144" spans="1:12" x14ac:dyDescent="0.25">
      <c r="A144" s="19" t="s">
        <v>4116</v>
      </c>
      <c r="B144" s="13" t="s">
        <v>4117</v>
      </c>
      <c r="C144" s="8">
        <v>1</v>
      </c>
      <c r="D144" s="9">
        <v>34.99</v>
      </c>
      <c r="E144" s="9">
        <v>34.99</v>
      </c>
      <c r="F144" s="8" t="s">
        <v>3875</v>
      </c>
      <c r="G144" s="13" t="s">
        <v>1769</v>
      </c>
      <c r="H144" s="19" t="s">
        <v>27</v>
      </c>
      <c r="I144" s="13" t="s">
        <v>11</v>
      </c>
      <c r="J144" s="13" t="s">
        <v>263</v>
      </c>
      <c r="K144" s="13" t="s">
        <v>264</v>
      </c>
      <c r="L144" s="20" t="str">
        <f>HYPERLINK("http://slimages.macys.com/is/image/MCY/854658 ")</f>
        <v xml:space="preserve">http://slimages.macys.com/is/image/MCY/854658 </v>
      </c>
    </row>
    <row r="145" spans="1:12" x14ac:dyDescent="0.25">
      <c r="A145" s="19" t="s">
        <v>4114</v>
      </c>
      <c r="B145" s="13" t="s">
        <v>4115</v>
      </c>
      <c r="C145" s="8">
        <v>1</v>
      </c>
      <c r="D145" s="9">
        <v>34.99</v>
      </c>
      <c r="E145" s="9">
        <v>34.99</v>
      </c>
      <c r="F145" s="8" t="s">
        <v>3875</v>
      </c>
      <c r="G145" s="13" t="s">
        <v>1769</v>
      </c>
      <c r="H145" s="19" t="s">
        <v>47</v>
      </c>
      <c r="I145" s="13" t="s">
        <v>11</v>
      </c>
      <c r="J145" s="13" t="s">
        <v>263</v>
      </c>
      <c r="K145" s="13" t="s">
        <v>264</v>
      </c>
      <c r="L145" s="20" t="str">
        <f>HYPERLINK("http://slimages.macys.com/is/image/MCY/854658 ")</f>
        <v xml:space="preserve">http://slimages.macys.com/is/image/MCY/854658 </v>
      </c>
    </row>
    <row r="146" spans="1:12" x14ac:dyDescent="0.25">
      <c r="A146" s="19" t="s">
        <v>4112</v>
      </c>
      <c r="B146" s="13" t="s">
        <v>4113</v>
      </c>
      <c r="C146" s="8">
        <v>1</v>
      </c>
      <c r="D146" s="9">
        <v>34.99</v>
      </c>
      <c r="E146" s="9">
        <v>34.99</v>
      </c>
      <c r="F146" s="8" t="s">
        <v>3875</v>
      </c>
      <c r="G146" s="13" t="s">
        <v>1769</v>
      </c>
      <c r="H146" s="19" t="s">
        <v>87</v>
      </c>
      <c r="I146" s="13" t="s">
        <v>11</v>
      </c>
      <c r="J146" s="13" t="s">
        <v>263</v>
      </c>
      <c r="K146" s="13" t="s">
        <v>264</v>
      </c>
      <c r="L146" s="20" t="str">
        <f>HYPERLINK("http://slimages.macys.com/is/image/MCY/854658 ")</f>
        <v xml:space="preserve">http://slimages.macys.com/is/image/MCY/854658 </v>
      </c>
    </row>
    <row r="147" spans="1:12" x14ac:dyDescent="0.25">
      <c r="A147" s="19" t="s">
        <v>4106</v>
      </c>
      <c r="B147" s="13" t="s">
        <v>4107</v>
      </c>
      <c r="C147" s="8">
        <v>1</v>
      </c>
      <c r="D147" s="9">
        <v>39.99</v>
      </c>
      <c r="E147" s="9">
        <v>39.99</v>
      </c>
      <c r="F147" s="8" t="s">
        <v>733</v>
      </c>
      <c r="G147" s="13" t="s">
        <v>205</v>
      </c>
      <c r="H147" s="19" t="s">
        <v>40</v>
      </c>
      <c r="I147" s="13" t="s">
        <v>11</v>
      </c>
      <c r="J147" s="13" t="s">
        <v>263</v>
      </c>
      <c r="K147" s="13" t="s">
        <v>264</v>
      </c>
      <c r="L147" s="20" t="str">
        <f>HYPERLINK("http://slimages.macys.com/is/image/MCY/20777013 ")</f>
        <v xml:space="preserve">http://slimages.macys.com/is/image/MCY/20777013 </v>
      </c>
    </row>
    <row r="148" spans="1:12" x14ac:dyDescent="0.25">
      <c r="A148" s="19" t="s">
        <v>3654</v>
      </c>
      <c r="B148" s="13" t="s">
        <v>3655</v>
      </c>
      <c r="C148" s="8">
        <v>3</v>
      </c>
      <c r="D148" s="9">
        <v>39.99</v>
      </c>
      <c r="E148" s="9">
        <v>119.97</v>
      </c>
      <c r="F148" s="8" t="s">
        <v>733</v>
      </c>
      <c r="G148" s="13" t="s">
        <v>205</v>
      </c>
      <c r="H148" s="19" t="s">
        <v>55</v>
      </c>
      <c r="I148" s="13" t="s">
        <v>11</v>
      </c>
      <c r="J148" s="13" t="s">
        <v>263</v>
      </c>
      <c r="K148" s="13" t="s">
        <v>264</v>
      </c>
      <c r="L148" s="20" t="str">
        <f>HYPERLINK("http://slimages.macys.com/is/image/MCY/21143579 ")</f>
        <v xml:space="preserve">http://slimages.macys.com/is/image/MCY/21143579 </v>
      </c>
    </row>
    <row r="149" spans="1:12" x14ac:dyDescent="0.25">
      <c r="A149" s="19" t="s">
        <v>3656</v>
      </c>
      <c r="B149" s="13" t="s">
        <v>3657</v>
      </c>
      <c r="C149" s="8">
        <v>1</v>
      </c>
      <c r="D149" s="9">
        <v>39.99</v>
      </c>
      <c r="E149" s="9">
        <v>39.99</v>
      </c>
      <c r="F149" s="8" t="s">
        <v>733</v>
      </c>
      <c r="G149" s="13" t="s">
        <v>205</v>
      </c>
      <c r="H149" s="19" t="s">
        <v>47</v>
      </c>
      <c r="I149" s="13" t="s">
        <v>11</v>
      </c>
      <c r="J149" s="13" t="s">
        <v>263</v>
      </c>
      <c r="K149" s="13" t="s">
        <v>264</v>
      </c>
      <c r="L149" s="20" t="str">
        <f>HYPERLINK("http://slimages.macys.com/is/image/MCY/20777013 ")</f>
        <v xml:space="preserve">http://slimages.macys.com/is/image/MCY/20777013 </v>
      </c>
    </row>
    <row r="150" spans="1:12" x14ac:dyDescent="0.25">
      <c r="A150" s="19" t="s">
        <v>3921</v>
      </c>
      <c r="B150" s="13" t="s">
        <v>3922</v>
      </c>
      <c r="C150" s="8">
        <v>4</v>
      </c>
      <c r="D150" s="9">
        <v>39.99</v>
      </c>
      <c r="E150" s="9">
        <v>159.96</v>
      </c>
      <c r="F150" s="8" t="s">
        <v>733</v>
      </c>
      <c r="G150" s="13" t="s">
        <v>174</v>
      </c>
      <c r="H150" s="19" t="s">
        <v>40</v>
      </c>
      <c r="I150" s="13" t="s">
        <v>11</v>
      </c>
      <c r="J150" s="13" t="s">
        <v>263</v>
      </c>
      <c r="K150" s="13" t="s">
        <v>264</v>
      </c>
      <c r="L150" s="20" t="str">
        <f>HYPERLINK("http://slimages.macys.com/is/image/MCY/20777013 ")</f>
        <v xml:space="preserve">http://slimages.macys.com/is/image/MCY/20777013 </v>
      </c>
    </row>
    <row r="151" spans="1:12" x14ac:dyDescent="0.25">
      <c r="A151" s="19" t="s">
        <v>3923</v>
      </c>
      <c r="B151" s="13" t="s">
        <v>3924</v>
      </c>
      <c r="C151" s="8">
        <v>1</v>
      </c>
      <c r="D151" s="9">
        <v>39.99</v>
      </c>
      <c r="E151" s="9">
        <v>39.99</v>
      </c>
      <c r="F151" s="8" t="s">
        <v>733</v>
      </c>
      <c r="G151" s="13" t="s">
        <v>174</v>
      </c>
      <c r="H151" s="19" t="s">
        <v>55</v>
      </c>
      <c r="I151" s="13" t="s">
        <v>11</v>
      </c>
      <c r="J151" s="13" t="s">
        <v>263</v>
      </c>
      <c r="K151" s="13" t="s">
        <v>264</v>
      </c>
      <c r="L151" s="20" t="str">
        <f>HYPERLINK("http://slimages.macys.com/is/image/MCY/20777013 ")</f>
        <v xml:space="preserve">http://slimages.macys.com/is/image/MCY/20777013 </v>
      </c>
    </row>
    <row r="152" spans="1:12" x14ac:dyDescent="0.25">
      <c r="A152" s="19" t="s">
        <v>3596</v>
      </c>
      <c r="B152" s="13" t="s">
        <v>3597</v>
      </c>
      <c r="C152" s="8">
        <v>1</v>
      </c>
      <c r="D152" s="9">
        <v>39.99</v>
      </c>
      <c r="E152" s="9">
        <v>39.99</v>
      </c>
      <c r="F152" s="8" t="s">
        <v>733</v>
      </c>
      <c r="G152" s="13" t="s">
        <v>174</v>
      </c>
      <c r="H152" s="19" t="s">
        <v>27</v>
      </c>
      <c r="I152" s="13" t="s">
        <v>11</v>
      </c>
      <c r="J152" s="13" t="s">
        <v>263</v>
      </c>
      <c r="K152" s="13" t="s">
        <v>264</v>
      </c>
      <c r="L152" s="20" t="str">
        <f>HYPERLINK("http://slimages.macys.com/is/image/MCY/21143579 ")</f>
        <v xml:space="preserve">http://slimages.macys.com/is/image/MCY/21143579 </v>
      </c>
    </row>
    <row r="153" spans="1:12" x14ac:dyDescent="0.25">
      <c r="A153" s="19" t="s">
        <v>4108</v>
      </c>
      <c r="B153" s="13" t="s">
        <v>4109</v>
      </c>
      <c r="C153" s="8">
        <v>1</v>
      </c>
      <c r="D153" s="9">
        <v>39.99</v>
      </c>
      <c r="E153" s="9">
        <v>39.99</v>
      </c>
      <c r="F153" s="8" t="s">
        <v>733</v>
      </c>
      <c r="G153" s="13" t="s">
        <v>174</v>
      </c>
      <c r="H153" s="19" t="s">
        <v>47</v>
      </c>
      <c r="I153" s="13" t="s">
        <v>11</v>
      </c>
      <c r="J153" s="13" t="s">
        <v>263</v>
      </c>
      <c r="K153" s="13" t="s">
        <v>264</v>
      </c>
      <c r="L153" s="20" t="str">
        <f>HYPERLINK("http://slimages.macys.com/is/image/MCY/1128710 ")</f>
        <v xml:space="preserve">http://slimages.macys.com/is/image/MCY/1128710 </v>
      </c>
    </row>
    <row r="154" spans="1:12" x14ac:dyDescent="0.25">
      <c r="A154" s="19" t="s">
        <v>3864</v>
      </c>
      <c r="B154" s="13" t="s">
        <v>3865</v>
      </c>
      <c r="C154" s="8">
        <v>4</v>
      </c>
      <c r="D154" s="9">
        <v>42.99</v>
      </c>
      <c r="E154" s="9">
        <v>171.96</v>
      </c>
      <c r="F154" s="8" t="s">
        <v>3734</v>
      </c>
      <c r="G154" s="13" t="s">
        <v>104</v>
      </c>
      <c r="H154" s="19" t="s">
        <v>32</v>
      </c>
      <c r="I154" s="13" t="s">
        <v>11</v>
      </c>
      <c r="J154" s="13" t="s">
        <v>263</v>
      </c>
      <c r="K154" s="13" t="s">
        <v>264</v>
      </c>
      <c r="L154" s="20" t="str">
        <f>HYPERLINK("http://slimages.macys.com/is/image/MCY/21480138 ")</f>
        <v xml:space="preserve">http://slimages.macys.com/is/image/MCY/21480138 </v>
      </c>
    </row>
    <row r="155" spans="1:12" x14ac:dyDescent="0.25">
      <c r="A155" s="19" t="s">
        <v>3732</v>
      </c>
      <c r="B155" s="13" t="s">
        <v>3733</v>
      </c>
      <c r="C155" s="8">
        <v>2</v>
      </c>
      <c r="D155" s="9">
        <v>42.99</v>
      </c>
      <c r="E155" s="9">
        <v>85.98</v>
      </c>
      <c r="F155" s="8" t="s">
        <v>3734</v>
      </c>
      <c r="G155" s="13" t="s">
        <v>104</v>
      </c>
      <c r="H155" s="19" t="s">
        <v>40</v>
      </c>
      <c r="I155" s="13" t="s">
        <v>11</v>
      </c>
      <c r="J155" s="13" t="s">
        <v>263</v>
      </c>
      <c r="K155" s="13" t="s">
        <v>264</v>
      </c>
      <c r="L155" s="20" t="str">
        <f>HYPERLINK("http://slimages.macys.com/is/image/MCY/20194465 ")</f>
        <v xml:space="preserve">http://slimages.macys.com/is/image/MCY/20194465 </v>
      </c>
    </row>
    <row r="156" spans="1:12" x14ac:dyDescent="0.25">
      <c r="A156" s="19" t="s">
        <v>3735</v>
      </c>
      <c r="B156" s="13" t="s">
        <v>3736</v>
      </c>
      <c r="C156" s="8">
        <v>3</v>
      </c>
      <c r="D156" s="9">
        <v>42.99</v>
      </c>
      <c r="E156" s="9">
        <v>128.97</v>
      </c>
      <c r="F156" s="8" t="s">
        <v>3734</v>
      </c>
      <c r="G156" s="13" t="s">
        <v>104</v>
      </c>
      <c r="H156" s="19" t="s">
        <v>55</v>
      </c>
      <c r="I156" s="13" t="s">
        <v>11</v>
      </c>
      <c r="J156" s="13" t="s">
        <v>263</v>
      </c>
      <c r="K156" s="13" t="s">
        <v>264</v>
      </c>
      <c r="L156" s="20" t="str">
        <f>HYPERLINK("http://slimages.macys.com/is/image/MCY/21480138 ")</f>
        <v xml:space="preserve">http://slimages.macys.com/is/image/MCY/21480138 </v>
      </c>
    </row>
    <row r="157" spans="1:12" x14ac:dyDescent="0.25">
      <c r="A157" s="19" t="s">
        <v>3866</v>
      </c>
      <c r="B157" s="13" t="s">
        <v>3867</v>
      </c>
      <c r="C157" s="8">
        <v>2</v>
      </c>
      <c r="D157" s="9">
        <v>42.99</v>
      </c>
      <c r="E157" s="9">
        <v>85.98</v>
      </c>
      <c r="F157" s="8" t="s">
        <v>3734</v>
      </c>
      <c r="G157" s="13" t="s">
        <v>104</v>
      </c>
      <c r="H157" s="19" t="s">
        <v>27</v>
      </c>
      <c r="I157" s="13" t="s">
        <v>11</v>
      </c>
      <c r="J157" s="13" t="s">
        <v>263</v>
      </c>
      <c r="K157" s="13" t="s">
        <v>264</v>
      </c>
      <c r="L157" s="20" t="str">
        <f>HYPERLINK("http://slimages.macys.com/is/image/MCY/20194465 ")</f>
        <v xml:space="preserve">http://slimages.macys.com/is/image/MCY/20194465 </v>
      </c>
    </row>
    <row r="158" spans="1:12" x14ac:dyDescent="0.25">
      <c r="A158" s="19" t="s">
        <v>3862</v>
      </c>
      <c r="B158" s="13" t="s">
        <v>3863</v>
      </c>
      <c r="C158" s="8">
        <v>2</v>
      </c>
      <c r="D158" s="9">
        <v>26.11</v>
      </c>
      <c r="E158" s="9">
        <v>52.22</v>
      </c>
      <c r="F158" s="8" t="s">
        <v>3734</v>
      </c>
      <c r="G158" s="13" t="s">
        <v>104</v>
      </c>
      <c r="H158" s="19" t="s">
        <v>47</v>
      </c>
      <c r="I158" s="13" t="s">
        <v>11</v>
      </c>
      <c r="J158" s="13" t="s">
        <v>263</v>
      </c>
      <c r="K158" s="13" t="s">
        <v>264</v>
      </c>
      <c r="L158" s="20" t="str">
        <f>HYPERLINK("http://slimages.macys.com/is/image/MCY/20194465 ")</f>
        <v xml:space="preserve">http://slimages.macys.com/is/image/MCY/20194465 </v>
      </c>
    </row>
    <row r="159" spans="1:12" x14ac:dyDescent="0.25">
      <c r="A159" s="19" t="s">
        <v>3737</v>
      </c>
      <c r="B159" s="13" t="s">
        <v>3738</v>
      </c>
      <c r="C159" s="8">
        <v>3</v>
      </c>
      <c r="D159" s="9">
        <v>42.99</v>
      </c>
      <c r="E159" s="9">
        <v>128.97</v>
      </c>
      <c r="F159" s="8" t="s">
        <v>3734</v>
      </c>
      <c r="G159" s="13" t="s">
        <v>104</v>
      </c>
      <c r="H159" s="19" t="s">
        <v>87</v>
      </c>
      <c r="I159" s="13" t="s">
        <v>11</v>
      </c>
      <c r="J159" s="13" t="s">
        <v>263</v>
      </c>
      <c r="K159" s="13" t="s">
        <v>264</v>
      </c>
      <c r="L159" s="20" t="str">
        <f>HYPERLINK("http://slimages.macys.com/is/image/MCY/20194465 ")</f>
        <v xml:space="preserve">http://slimages.macys.com/is/image/MCY/20194465 </v>
      </c>
    </row>
    <row r="160" spans="1:12" x14ac:dyDescent="0.25">
      <c r="A160" s="19" t="s">
        <v>3598</v>
      </c>
      <c r="B160" s="13" t="s">
        <v>3599</v>
      </c>
      <c r="C160" s="8">
        <v>1</v>
      </c>
      <c r="D160" s="9">
        <v>34.99</v>
      </c>
      <c r="E160" s="9">
        <v>34.99</v>
      </c>
      <c r="F160" s="8" t="s">
        <v>3600</v>
      </c>
      <c r="G160" s="13" t="s">
        <v>31</v>
      </c>
      <c r="H160" s="19" t="s">
        <v>87</v>
      </c>
      <c r="I160" s="13" t="s">
        <v>11</v>
      </c>
      <c r="J160" s="13" t="s">
        <v>263</v>
      </c>
      <c r="K160" s="13" t="s">
        <v>264</v>
      </c>
      <c r="L160" s="20" t="str">
        <f>HYPERLINK("http://slimages.macys.com/is/image/MCY/18613533 ")</f>
        <v xml:space="preserve">http://slimages.macys.com/is/image/MCY/18613533 </v>
      </c>
    </row>
    <row r="161" spans="1:12" x14ac:dyDescent="0.25">
      <c r="A161" s="19" t="s">
        <v>3868</v>
      </c>
      <c r="B161" s="13" t="s">
        <v>3869</v>
      </c>
      <c r="C161" s="8">
        <v>5</v>
      </c>
      <c r="D161" s="9">
        <v>42.99</v>
      </c>
      <c r="E161" s="9">
        <v>214.95</v>
      </c>
      <c r="F161" s="8" t="s">
        <v>3870</v>
      </c>
      <c r="G161" s="13" t="s">
        <v>78</v>
      </c>
      <c r="H161" s="19" t="s">
        <v>32</v>
      </c>
      <c r="I161" s="13" t="s">
        <v>11</v>
      </c>
      <c r="J161" s="13" t="s">
        <v>263</v>
      </c>
      <c r="K161" s="13" t="s">
        <v>264</v>
      </c>
      <c r="L161" s="20" t="str">
        <f>HYPERLINK("http://slimages.macys.com/is/image/MCY/20194465 ")</f>
        <v xml:space="preserve">http://slimages.macys.com/is/image/MCY/20194465 </v>
      </c>
    </row>
    <row r="162" spans="1:12" x14ac:dyDescent="0.25">
      <c r="A162" s="19" t="s">
        <v>3915</v>
      </c>
      <c r="B162" s="13" t="s">
        <v>3916</v>
      </c>
      <c r="C162" s="8">
        <v>2</v>
      </c>
      <c r="D162" s="9">
        <v>42.99</v>
      </c>
      <c r="E162" s="9">
        <v>85.98</v>
      </c>
      <c r="F162" s="8" t="s">
        <v>3870</v>
      </c>
      <c r="G162" s="13" t="s">
        <v>78</v>
      </c>
      <c r="H162" s="19" t="s">
        <v>40</v>
      </c>
      <c r="I162" s="13" t="s">
        <v>11</v>
      </c>
      <c r="J162" s="13" t="s">
        <v>263</v>
      </c>
      <c r="K162" s="13" t="s">
        <v>264</v>
      </c>
      <c r="L162" s="20" t="str">
        <f>HYPERLINK("http://slimages.macys.com/is/image/MCY/21480138 ")</f>
        <v xml:space="preserve">http://slimages.macys.com/is/image/MCY/21480138 </v>
      </c>
    </row>
    <row r="163" spans="1:12" x14ac:dyDescent="0.25">
      <c r="A163" s="19" t="s">
        <v>3917</v>
      </c>
      <c r="B163" s="13" t="s">
        <v>3918</v>
      </c>
      <c r="C163" s="8">
        <v>1</v>
      </c>
      <c r="D163" s="9">
        <v>42.99</v>
      </c>
      <c r="E163" s="9">
        <v>42.99</v>
      </c>
      <c r="F163" s="8" t="s">
        <v>3870</v>
      </c>
      <c r="G163" s="13" t="s">
        <v>78</v>
      </c>
      <c r="H163" s="19" t="s">
        <v>55</v>
      </c>
      <c r="I163" s="13" t="s">
        <v>11</v>
      </c>
      <c r="J163" s="13" t="s">
        <v>263</v>
      </c>
      <c r="K163" s="13" t="s">
        <v>264</v>
      </c>
      <c r="L163" s="20" t="str">
        <f>HYPERLINK("http://slimages.macys.com/is/image/MCY/20194465 ")</f>
        <v xml:space="preserve">http://slimages.macys.com/is/image/MCY/20194465 </v>
      </c>
    </row>
    <row r="164" spans="1:12" x14ac:dyDescent="0.25">
      <c r="A164" s="19" t="s">
        <v>3919</v>
      </c>
      <c r="B164" s="13" t="s">
        <v>3920</v>
      </c>
      <c r="C164" s="8">
        <v>2</v>
      </c>
      <c r="D164" s="9">
        <v>42.99</v>
      </c>
      <c r="E164" s="9">
        <v>85.98</v>
      </c>
      <c r="F164" s="8" t="s">
        <v>3870</v>
      </c>
      <c r="G164" s="13" t="s">
        <v>78</v>
      </c>
      <c r="H164" s="19" t="s">
        <v>27</v>
      </c>
      <c r="I164" s="13" t="s">
        <v>11</v>
      </c>
      <c r="J164" s="13" t="s">
        <v>263</v>
      </c>
      <c r="K164" s="13" t="s">
        <v>264</v>
      </c>
      <c r="L164" s="20" t="str">
        <f>HYPERLINK("http://slimages.macys.com/is/image/MCY/20194469 ")</f>
        <v xml:space="preserve">http://slimages.macys.com/is/image/MCY/20194469 </v>
      </c>
    </row>
    <row r="165" spans="1:12" x14ac:dyDescent="0.25">
      <c r="A165" s="19" t="s">
        <v>3871</v>
      </c>
      <c r="B165" s="13" t="s">
        <v>3872</v>
      </c>
      <c r="C165" s="8">
        <v>1</v>
      </c>
      <c r="D165" s="9">
        <v>42.99</v>
      </c>
      <c r="E165" s="9">
        <v>42.99</v>
      </c>
      <c r="F165" s="8" t="s">
        <v>3870</v>
      </c>
      <c r="G165" s="13" t="s">
        <v>78</v>
      </c>
      <c r="H165" s="19" t="s">
        <v>87</v>
      </c>
      <c r="I165" s="13" t="s">
        <v>11</v>
      </c>
      <c r="J165" s="13" t="s">
        <v>263</v>
      </c>
      <c r="K165" s="13" t="s">
        <v>264</v>
      </c>
      <c r="L165" s="20" t="str">
        <f>HYPERLINK("http://slimages.macys.com/is/image/MCY/20194465 ")</f>
        <v xml:space="preserve">http://slimages.macys.com/is/image/MCY/20194465 </v>
      </c>
    </row>
    <row r="166" spans="1:12" x14ac:dyDescent="0.25">
      <c r="A166" s="19" t="s">
        <v>3588</v>
      </c>
      <c r="B166" s="13" t="s">
        <v>3589</v>
      </c>
      <c r="C166" s="8">
        <v>2</v>
      </c>
      <c r="D166" s="9">
        <v>42.99</v>
      </c>
      <c r="E166" s="9">
        <v>85.98</v>
      </c>
      <c r="F166" s="8" t="s">
        <v>3587</v>
      </c>
      <c r="G166" s="13" t="s">
        <v>122</v>
      </c>
      <c r="H166" s="19" t="s">
        <v>32</v>
      </c>
      <c r="I166" s="13" t="s">
        <v>11</v>
      </c>
      <c r="J166" s="13" t="s">
        <v>263</v>
      </c>
      <c r="K166" s="13" t="s">
        <v>264</v>
      </c>
      <c r="L166" s="20" t="str">
        <f>HYPERLINK("http://slimages.macys.com/is/image/MCY/20194465 ")</f>
        <v xml:space="preserve">http://slimages.macys.com/is/image/MCY/20194465 </v>
      </c>
    </row>
    <row r="167" spans="1:12" x14ac:dyDescent="0.25">
      <c r="A167" s="19" t="s">
        <v>3590</v>
      </c>
      <c r="B167" s="13" t="s">
        <v>3591</v>
      </c>
      <c r="C167" s="8">
        <v>1</v>
      </c>
      <c r="D167" s="9">
        <v>42.99</v>
      </c>
      <c r="E167" s="9">
        <v>42.99</v>
      </c>
      <c r="F167" s="8" t="s">
        <v>3587</v>
      </c>
      <c r="G167" s="13" t="s">
        <v>122</v>
      </c>
      <c r="H167" s="19" t="s">
        <v>40</v>
      </c>
      <c r="I167" s="13" t="s">
        <v>11</v>
      </c>
      <c r="J167" s="13" t="s">
        <v>263</v>
      </c>
      <c r="K167" s="13" t="s">
        <v>264</v>
      </c>
      <c r="L167" s="20" t="str">
        <f>HYPERLINK("http://slimages.macys.com/is/image/MCY/20194465 ")</f>
        <v xml:space="preserve">http://slimages.macys.com/is/image/MCY/20194465 </v>
      </c>
    </row>
    <row r="168" spans="1:12" x14ac:dyDescent="0.25">
      <c r="A168" s="19" t="s">
        <v>3585</v>
      </c>
      <c r="B168" s="13" t="s">
        <v>3586</v>
      </c>
      <c r="C168" s="8">
        <v>2</v>
      </c>
      <c r="D168" s="9">
        <v>42.99</v>
      </c>
      <c r="E168" s="9">
        <v>85.98</v>
      </c>
      <c r="F168" s="8" t="s">
        <v>3587</v>
      </c>
      <c r="G168" s="13" t="s">
        <v>122</v>
      </c>
      <c r="H168" s="19" t="s">
        <v>55</v>
      </c>
      <c r="I168" s="13" t="s">
        <v>11</v>
      </c>
      <c r="J168" s="13" t="s">
        <v>263</v>
      </c>
      <c r="K168" s="13" t="s">
        <v>264</v>
      </c>
      <c r="L168" s="20" t="str">
        <f>HYPERLINK("http://slimages.macys.com/is/image/MCY/20194469 ")</f>
        <v xml:space="preserve">http://slimages.macys.com/is/image/MCY/20194469 </v>
      </c>
    </row>
    <row r="169" spans="1:12" x14ac:dyDescent="0.25">
      <c r="A169" s="19" t="s">
        <v>3592</v>
      </c>
      <c r="B169" s="13" t="s">
        <v>3593</v>
      </c>
      <c r="C169" s="8">
        <v>3</v>
      </c>
      <c r="D169" s="9">
        <v>42.99</v>
      </c>
      <c r="E169" s="9">
        <v>128.97</v>
      </c>
      <c r="F169" s="8" t="s">
        <v>3587</v>
      </c>
      <c r="G169" s="13" t="s">
        <v>122</v>
      </c>
      <c r="H169" s="19" t="s">
        <v>27</v>
      </c>
      <c r="I169" s="13" t="s">
        <v>11</v>
      </c>
      <c r="J169" s="13" t="s">
        <v>263</v>
      </c>
      <c r="K169" s="13" t="s">
        <v>264</v>
      </c>
      <c r="L169" s="20" t="str">
        <f>HYPERLINK("http://slimages.macys.com/is/image/MCY/20194471 ")</f>
        <v xml:space="preserve">http://slimages.macys.com/is/image/MCY/20194471 </v>
      </c>
    </row>
    <row r="170" spans="1:12" x14ac:dyDescent="0.25">
      <c r="A170" s="19" t="s">
        <v>3913</v>
      </c>
      <c r="B170" s="13" t="s">
        <v>3914</v>
      </c>
      <c r="C170" s="8">
        <v>1</v>
      </c>
      <c r="D170" s="9">
        <v>42.99</v>
      </c>
      <c r="E170" s="9">
        <v>42.99</v>
      </c>
      <c r="F170" s="8" t="s">
        <v>3587</v>
      </c>
      <c r="G170" s="13" t="s">
        <v>122</v>
      </c>
      <c r="H170" s="19" t="s">
        <v>47</v>
      </c>
      <c r="I170" s="13" t="s">
        <v>11</v>
      </c>
      <c r="J170" s="13" t="s">
        <v>263</v>
      </c>
      <c r="K170" s="13" t="s">
        <v>264</v>
      </c>
      <c r="L170" s="20" t="str">
        <f>HYPERLINK("http://slimages.macys.com/is/image/MCY/20194469 ")</f>
        <v xml:space="preserve">http://slimages.macys.com/is/image/MCY/20194469 </v>
      </c>
    </row>
    <row r="171" spans="1:12" x14ac:dyDescent="0.25">
      <c r="A171" s="19" t="s">
        <v>3860</v>
      </c>
      <c r="B171" s="13" t="s">
        <v>3861</v>
      </c>
      <c r="C171" s="8">
        <v>2</v>
      </c>
      <c r="D171" s="9">
        <v>42.99</v>
      </c>
      <c r="E171" s="9">
        <v>85.98</v>
      </c>
      <c r="F171" s="8" t="s">
        <v>3587</v>
      </c>
      <c r="G171" s="13" t="s">
        <v>122</v>
      </c>
      <c r="H171" s="19" t="s">
        <v>87</v>
      </c>
      <c r="I171" s="13" t="s">
        <v>11</v>
      </c>
      <c r="J171" s="13" t="s">
        <v>263</v>
      </c>
      <c r="K171" s="13" t="s">
        <v>264</v>
      </c>
      <c r="L171" s="20" t="str">
        <f>HYPERLINK("http://slimages.macys.com/is/image/MCY/20194469 ")</f>
        <v xml:space="preserve">http://slimages.macys.com/is/image/MCY/20194469 </v>
      </c>
    </row>
    <row r="172" spans="1:12" x14ac:dyDescent="0.25">
      <c r="A172" s="19" t="s">
        <v>3873</v>
      </c>
      <c r="B172" s="13" t="s">
        <v>3874</v>
      </c>
      <c r="C172" s="8">
        <v>1</v>
      </c>
      <c r="D172" s="9">
        <v>34.99</v>
      </c>
      <c r="E172" s="9">
        <v>34.99</v>
      </c>
      <c r="F172" s="8" t="s">
        <v>3600</v>
      </c>
      <c r="G172" s="13" t="s">
        <v>1769</v>
      </c>
      <c r="H172" s="19" t="s">
        <v>32</v>
      </c>
      <c r="I172" s="13" t="s">
        <v>11</v>
      </c>
      <c r="J172" s="13" t="s">
        <v>263</v>
      </c>
      <c r="K172" s="13" t="s">
        <v>264</v>
      </c>
      <c r="L172" s="20" t="str">
        <f>HYPERLINK("http://slimages.macys.com/is/image/MCY/18613652 ")</f>
        <v xml:space="preserve">http://slimages.macys.com/is/image/MCY/18613652 </v>
      </c>
    </row>
    <row r="173" spans="1:12" x14ac:dyDescent="0.25">
      <c r="A173" s="19" t="s">
        <v>4110</v>
      </c>
      <c r="B173" s="13" t="s">
        <v>4111</v>
      </c>
      <c r="C173" s="8">
        <v>1</v>
      </c>
      <c r="D173" s="9">
        <v>34.99</v>
      </c>
      <c r="E173" s="9">
        <v>34.99</v>
      </c>
      <c r="F173" s="8" t="s">
        <v>3600</v>
      </c>
      <c r="G173" s="13" t="s">
        <v>1769</v>
      </c>
      <c r="H173" s="19" t="s">
        <v>27</v>
      </c>
      <c r="I173" s="13" t="s">
        <v>11</v>
      </c>
      <c r="J173" s="13" t="s">
        <v>263</v>
      </c>
      <c r="K173" s="13" t="s">
        <v>264</v>
      </c>
      <c r="L173" s="20" t="str">
        <f>HYPERLINK("http://slimages.macys.com/is/image/MCY/18613652 ")</f>
        <v xml:space="preserve">http://slimages.macys.com/is/image/MCY/18613652 </v>
      </c>
    </row>
    <row r="174" spans="1:12" x14ac:dyDescent="0.25">
      <c r="A174" s="19" t="s">
        <v>3925</v>
      </c>
      <c r="B174" s="13" t="s">
        <v>3926</v>
      </c>
      <c r="C174" s="8">
        <v>1</v>
      </c>
      <c r="D174" s="9">
        <v>26.11</v>
      </c>
      <c r="E174" s="9">
        <v>26.11</v>
      </c>
      <c r="F174" s="8" t="s">
        <v>3600</v>
      </c>
      <c r="G174" s="13" t="s">
        <v>1769</v>
      </c>
      <c r="H174" s="19" t="s">
        <v>87</v>
      </c>
      <c r="I174" s="13" t="s">
        <v>11</v>
      </c>
      <c r="J174" s="13" t="s">
        <v>263</v>
      </c>
      <c r="K174" s="13" t="s">
        <v>264</v>
      </c>
      <c r="L174" s="20" t="str">
        <f>HYPERLINK("http://slimages.macys.com/is/image/MCY/18613652 ")</f>
        <v xml:space="preserve">http://slimages.macys.com/is/image/MCY/18613652 </v>
      </c>
    </row>
    <row r="175" spans="1:12" x14ac:dyDescent="0.25">
      <c r="A175" s="19" t="s">
        <v>3658</v>
      </c>
      <c r="B175" s="13" t="s">
        <v>3659</v>
      </c>
      <c r="C175" s="8">
        <v>1</v>
      </c>
      <c r="D175" s="9">
        <v>34.99</v>
      </c>
      <c r="E175" s="9">
        <v>34.99</v>
      </c>
      <c r="F175" s="8" t="s">
        <v>3660</v>
      </c>
      <c r="G175" s="13" t="s">
        <v>78</v>
      </c>
      <c r="H175" s="19" t="s">
        <v>27</v>
      </c>
      <c r="I175" s="13" t="s">
        <v>11</v>
      </c>
      <c r="J175" s="13" t="s">
        <v>263</v>
      </c>
      <c r="K175" s="13" t="s">
        <v>264</v>
      </c>
      <c r="L175" s="20" t="str">
        <f>HYPERLINK("http://slimages.macys.com/is/image/MCY/18613652 ")</f>
        <v xml:space="preserve">http://slimages.macys.com/is/image/MCY/18613652 </v>
      </c>
    </row>
    <row r="176" spans="1:12" x14ac:dyDescent="0.25">
      <c r="A176" s="19" t="s">
        <v>1198</v>
      </c>
      <c r="B176" s="13" t="s">
        <v>1199</v>
      </c>
      <c r="C176" s="8">
        <v>1</v>
      </c>
      <c r="D176" s="9">
        <v>39.99</v>
      </c>
      <c r="E176" s="9">
        <v>39.99</v>
      </c>
      <c r="F176" s="8" t="s">
        <v>1200</v>
      </c>
      <c r="G176" s="13" t="s">
        <v>83</v>
      </c>
      <c r="H176" s="19" t="s">
        <v>87</v>
      </c>
      <c r="I176" s="13" t="s">
        <v>11</v>
      </c>
      <c r="J176" s="13" t="s">
        <v>263</v>
      </c>
      <c r="K176" s="13" t="s">
        <v>264</v>
      </c>
      <c r="L176" s="20" t="str">
        <f>HYPERLINK("http://slimages.macys.com/is/image/MCY/18293009 ")</f>
        <v xml:space="preserve">http://slimages.macys.com/is/image/MCY/18293009 </v>
      </c>
    </row>
    <row r="177" spans="1:12" x14ac:dyDescent="0.25">
      <c r="A177" s="19" t="s">
        <v>432</v>
      </c>
      <c r="B177" s="13" t="s">
        <v>433</v>
      </c>
      <c r="C177" s="8">
        <v>1</v>
      </c>
      <c r="D177" s="9">
        <v>40</v>
      </c>
      <c r="E177" s="9">
        <v>40</v>
      </c>
      <c r="F177" s="8">
        <v>100077742</v>
      </c>
      <c r="G177" s="13" t="s">
        <v>124</v>
      </c>
      <c r="H177" s="19" t="s">
        <v>40</v>
      </c>
      <c r="I177" s="13" t="s">
        <v>11</v>
      </c>
      <c r="J177" s="13" t="s">
        <v>427</v>
      </c>
      <c r="K177" s="13" t="s">
        <v>428</v>
      </c>
      <c r="L177" s="20" t="str">
        <f>HYPERLINK("http://slimages.macys.com/is/image/MCY/17534305 ")</f>
        <v xml:space="preserve">http://slimages.macys.com/is/image/MCY/17534305 </v>
      </c>
    </row>
    <row r="178" spans="1:12" x14ac:dyDescent="0.25">
      <c r="A178" s="19" t="s">
        <v>4204</v>
      </c>
      <c r="B178" s="13" t="s">
        <v>4205</v>
      </c>
      <c r="C178" s="8">
        <v>1</v>
      </c>
      <c r="D178" s="9">
        <v>19.989999999999998</v>
      </c>
      <c r="E178" s="9">
        <v>19.989999999999998</v>
      </c>
      <c r="F178" s="8">
        <v>100117215</v>
      </c>
      <c r="G178" s="13" t="s">
        <v>57</v>
      </c>
      <c r="H178" s="19" t="s">
        <v>55</v>
      </c>
      <c r="I178" s="13" t="s">
        <v>11</v>
      </c>
      <c r="J178" s="13" t="s">
        <v>427</v>
      </c>
      <c r="K178" s="13" t="s">
        <v>428</v>
      </c>
      <c r="L178" s="20" t="str">
        <f>HYPERLINK("http://slimages.macys.com/is/image/MCY/1059719 ")</f>
        <v xml:space="preserve">http://slimages.macys.com/is/image/MCY/1059719 </v>
      </c>
    </row>
    <row r="179" spans="1:12" x14ac:dyDescent="0.25">
      <c r="A179" s="19" t="s">
        <v>781</v>
      </c>
      <c r="B179" s="13" t="s">
        <v>782</v>
      </c>
      <c r="C179" s="8">
        <v>1</v>
      </c>
      <c r="D179" s="9">
        <v>40</v>
      </c>
      <c r="E179" s="9">
        <v>40</v>
      </c>
      <c r="F179" s="8">
        <v>100137477</v>
      </c>
      <c r="G179" s="13" t="s">
        <v>57</v>
      </c>
      <c r="H179" s="19" t="s">
        <v>55</v>
      </c>
      <c r="I179" s="13" t="s">
        <v>11</v>
      </c>
      <c r="J179" s="13" t="s">
        <v>427</v>
      </c>
      <c r="K179" s="13" t="s">
        <v>428</v>
      </c>
      <c r="L179" s="20" t="str">
        <f>HYPERLINK("http://slimages.macys.com/is/image/MCY/19877225 ")</f>
        <v xml:space="preserve">http://slimages.macys.com/is/image/MCY/19877225 </v>
      </c>
    </row>
    <row r="180" spans="1:12" x14ac:dyDescent="0.25">
      <c r="A180" s="19" t="s">
        <v>1249</v>
      </c>
      <c r="B180" s="13" t="s">
        <v>1250</v>
      </c>
      <c r="C180" s="8">
        <v>1</v>
      </c>
      <c r="D180" s="9">
        <v>68</v>
      </c>
      <c r="E180" s="9">
        <v>68</v>
      </c>
      <c r="F180" s="8" t="s">
        <v>1251</v>
      </c>
      <c r="G180" s="13" t="s">
        <v>963</v>
      </c>
      <c r="H180" s="19" t="s">
        <v>55</v>
      </c>
      <c r="I180" s="13" t="s">
        <v>11</v>
      </c>
      <c r="J180" s="13" t="s">
        <v>343</v>
      </c>
      <c r="K180" s="13" t="s">
        <v>358</v>
      </c>
      <c r="L180" s="20" t="str">
        <f>HYPERLINK("http://slimages.macys.com/is/image/MCY/18017819 ")</f>
        <v xml:space="preserve">http://slimages.macys.com/is/image/MCY/18017819 </v>
      </c>
    </row>
    <row r="181" spans="1:12" x14ac:dyDescent="0.25">
      <c r="A181" s="19" t="s">
        <v>3975</v>
      </c>
      <c r="B181" s="13" t="s">
        <v>3976</v>
      </c>
      <c r="C181" s="8">
        <v>1</v>
      </c>
      <c r="D181" s="9">
        <v>34</v>
      </c>
      <c r="E181" s="9">
        <v>34</v>
      </c>
      <c r="F181" s="8" t="s">
        <v>1035</v>
      </c>
      <c r="G181" s="13" t="s">
        <v>82</v>
      </c>
      <c r="H181" s="19" t="s">
        <v>40</v>
      </c>
      <c r="I181" s="13" t="s">
        <v>11</v>
      </c>
      <c r="J181" s="13" t="s">
        <v>343</v>
      </c>
      <c r="K181" s="13" t="s">
        <v>366</v>
      </c>
      <c r="L181" s="20" t="str">
        <f>HYPERLINK("http://slimages.macys.com/is/image/MCY/19673056 ")</f>
        <v xml:space="preserve">http://slimages.macys.com/is/image/MCY/19673056 </v>
      </c>
    </row>
    <row r="182" spans="1:12" x14ac:dyDescent="0.25">
      <c r="A182" s="19" t="s">
        <v>3977</v>
      </c>
      <c r="B182" s="13" t="s">
        <v>3978</v>
      </c>
      <c r="C182" s="8">
        <v>2</v>
      </c>
      <c r="D182" s="9">
        <v>34</v>
      </c>
      <c r="E182" s="9">
        <v>68</v>
      </c>
      <c r="F182" s="8" t="s">
        <v>1035</v>
      </c>
      <c r="G182" s="13" t="s">
        <v>82</v>
      </c>
      <c r="H182" s="19" t="s">
        <v>27</v>
      </c>
      <c r="I182" s="13" t="s">
        <v>11</v>
      </c>
      <c r="J182" s="13" t="s">
        <v>343</v>
      </c>
      <c r="K182" s="13" t="s">
        <v>366</v>
      </c>
      <c r="L182" s="20" t="str">
        <f>HYPERLINK("http://slimages.macys.com/is/image/MCY/19734527 ")</f>
        <v xml:space="preserve">http://slimages.macys.com/is/image/MCY/19734527 </v>
      </c>
    </row>
    <row r="183" spans="1:12" x14ac:dyDescent="0.25">
      <c r="A183" s="19" t="s">
        <v>1253</v>
      </c>
      <c r="B183" s="13" t="s">
        <v>1254</v>
      </c>
      <c r="C183" s="8">
        <v>1</v>
      </c>
      <c r="D183" s="9">
        <v>34</v>
      </c>
      <c r="E183" s="9">
        <v>34</v>
      </c>
      <c r="F183" s="8" t="s">
        <v>1035</v>
      </c>
      <c r="G183" s="13" t="s">
        <v>31</v>
      </c>
      <c r="H183" s="19" t="s">
        <v>27</v>
      </c>
      <c r="I183" s="13" t="s">
        <v>11</v>
      </c>
      <c r="J183" s="13" t="s">
        <v>343</v>
      </c>
      <c r="K183" s="13" t="s">
        <v>366</v>
      </c>
      <c r="L183" s="20" t="str">
        <f>HYPERLINK("http://slimages.macys.com/is/image/MCY/19734597 ")</f>
        <v xml:space="preserve">http://slimages.macys.com/is/image/MCY/19734597 </v>
      </c>
    </row>
    <row r="184" spans="1:12" x14ac:dyDescent="0.25">
      <c r="A184" s="19" t="s">
        <v>3820</v>
      </c>
      <c r="B184" s="13" t="s">
        <v>3821</v>
      </c>
      <c r="C184" s="8">
        <v>1</v>
      </c>
      <c r="D184" s="9">
        <v>34</v>
      </c>
      <c r="E184" s="9">
        <v>34</v>
      </c>
      <c r="F184" s="8" t="s">
        <v>3405</v>
      </c>
      <c r="G184" s="13" t="s">
        <v>44</v>
      </c>
      <c r="H184" s="19" t="s">
        <v>55</v>
      </c>
      <c r="I184" s="13" t="s">
        <v>11</v>
      </c>
      <c r="J184" s="13" t="s">
        <v>343</v>
      </c>
      <c r="K184" s="13" t="s">
        <v>366</v>
      </c>
      <c r="L184" s="20" t="str">
        <f>HYPERLINK("http://slimages.macys.com/is/image/MCY/20072273 ")</f>
        <v xml:space="preserve">http://slimages.macys.com/is/image/MCY/20072273 </v>
      </c>
    </row>
    <row r="185" spans="1:12" x14ac:dyDescent="0.25">
      <c r="A185" s="19" t="s">
        <v>4201</v>
      </c>
      <c r="B185" s="13" t="s">
        <v>4202</v>
      </c>
      <c r="C185" s="8">
        <v>1</v>
      </c>
      <c r="D185" s="9">
        <v>14.3</v>
      </c>
      <c r="E185" s="9">
        <v>14.3</v>
      </c>
      <c r="F185" s="8" t="s">
        <v>4203</v>
      </c>
      <c r="G185" s="13" t="s">
        <v>124</v>
      </c>
      <c r="H185" s="19" t="s">
        <v>40</v>
      </c>
      <c r="I185" s="13" t="s">
        <v>11</v>
      </c>
      <c r="J185" s="13" t="s">
        <v>343</v>
      </c>
      <c r="K185" s="13" t="s">
        <v>379</v>
      </c>
      <c r="L185" s="20" t="str">
        <f>HYPERLINK("http://slimages.macys.com/is/image/MCY/20121350 ")</f>
        <v xml:space="preserve">http://slimages.macys.com/is/image/MCY/20121350 </v>
      </c>
    </row>
    <row r="186" spans="1:12" x14ac:dyDescent="0.25">
      <c r="A186" s="19" t="s">
        <v>4184</v>
      </c>
      <c r="B186" s="13" t="s">
        <v>4185</v>
      </c>
      <c r="C186" s="8">
        <v>1</v>
      </c>
      <c r="D186" s="9">
        <v>25</v>
      </c>
      <c r="E186" s="9">
        <v>25</v>
      </c>
      <c r="F186" s="8" t="s">
        <v>773</v>
      </c>
      <c r="G186" s="13" t="s">
        <v>163</v>
      </c>
      <c r="H186" s="19" t="s">
        <v>32</v>
      </c>
      <c r="I186" s="13" t="s">
        <v>11</v>
      </c>
      <c r="J186" s="13" t="s">
        <v>343</v>
      </c>
      <c r="K186" s="13" t="s">
        <v>379</v>
      </c>
      <c r="L186" s="20" t="str">
        <f>HYPERLINK("http://slimages.macys.com/is/image/MCY/20185665 ")</f>
        <v xml:space="preserve">http://slimages.macys.com/is/image/MCY/20185665 </v>
      </c>
    </row>
    <row r="187" spans="1:12" x14ac:dyDescent="0.25">
      <c r="A187" s="19" t="s">
        <v>4182</v>
      </c>
      <c r="B187" s="13" t="s">
        <v>4183</v>
      </c>
      <c r="C187" s="8">
        <v>1</v>
      </c>
      <c r="D187" s="9">
        <v>25</v>
      </c>
      <c r="E187" s="9">
        <v>25</v>
      </c>
      <c r="F187" s="8" t="s">
        <v>773</v>
      </c>
      <c r="G187" s="13" t="s">
        <v>44</v>
      </c>
      <c r="H187" s="19" t="s">
        <v>32</v>
      </c>
      <c r="I187" s="13" t="s">
        <v>11</v>
      </c>
      <c r="J187" s="13" t="s">
        <v>343</v>
      </c>
      <c r="K187" s="13" t="s">
        <v>379</v>
      </c>
      <c r="L187" s="20" t="str">
        <f>HYPERLINK("http://slimages.macys.com/is/image/MCY/20185665 ")</f>
        <v xml:space="preserve">http://slimages.macys.com/is/image/MCY/20185665 </v>
      </c>
    </row>
    <row r="188" spans="1:12" x14ac:dyDescent="0.25">
      <c r="A188" s="19" t="s">
        <v>410</v>
      </c>
      <c r="B188" s="13" t="s">
        <v>411</v>
      </c>
      <c r="C188" s="8">
        <v>1</v>
      </c>
      <c r="D188" s="9">
        <v>12.5</v>
      </c>
      <c r="E188" s="9">
        <v>12.5</v>
      </c>
      <c r="F188" s="8" t="s">
        <v>409</v>
      </c>
      <c r="G188" s="13" t="s">
        <v>122</v>
      </c>
      <c r="H188" s="19" t="s">
        <v>32</v>
      </c>
      <c r="I188" s="13" t="s">
        <v>11</v>
      </c>
      <c r="J188" s="13" t="s">
        <v>343</v>
      </c>
      <c r="K188" s="13" t="s">
        <v>379</v>
      </c>
      <c r="L188" s="20" t="str">
        <f>HYPERLINK("http://slimages.macys.com/is/image/MCY/20180193 ")</f>
        <v xml:space="preserve">http://slimages.macys.com/is/image/MCY/20180193 </v>
      </c>
    </row>
    <row r="189" spans="1:12" x14ac:dyDescent="0.25">
      <c r="A189" s="19" t="s">
        <v>3813</v>
      </c>
      <c r="B189" s="13" t="s">
        <v>3814</v>
      </c>
      <c r="C189" s="8">
        <v>4</v>
      </c>
      <c r="D189" s="9">
        <v>14.99</v>
      </c>
      <c r="E189" s="9">
        <v>59.96</v>
      </c>
      <c r="F189" s="8">
        <v>100046944</v>
      </c>
      <c r="G189" s="13" t="s">
        <v>62</v>
      </c>
      <c r="H189" s="19" t="s">
        <v>32</v>
      </c>
      <c r="I189" s="13" t="s">
        <v>11</v>
      </c>
      <c r="J189" s="13" t="s">
        <v>266</v>
      </c>
      <c r="K189" s="13" t="s">
        <v>333</v>
      </c>
      <c r="L189" s="20" t="str">
        <f>HYPERLINK("http://slimages.macys.com/is/image/MCY/11456500 ")</f>
        <v xml:space="preserve">http://slimages.macys.com/is/image/MCY/11456500 </v>
      </c>
    </row>
    <row r="190" spans="1:12" x14ac:dyDescent="0.25">
      <c r="A190" s="19" t="s">
        <v>3815</v>
      </c>
      <c r="B190" s="13" t="s">
        <v>3816</v>
      </c>
      <c r="C190" s="8">
        <v>5</v>
      </c>
      <c r="D190" s="9">
        <v>14.99</v>
      </c>
      <c r="E190" s="9">
        <v>74.95</v>
      </c>
      <c r="F190" s="8">
        <v>100046944</v>
      </c>
      <c r="G190" s="13" t="s">
        <v>62</v>
      </c>
      <c r="H190" s="19" t="s">
        <v>40</v>
      </c>
      <c r="I190" s="13" t="s">
        <v>11</v>
      </c>
      <c r="J190" s="13" t="s">
        <v>266</v>
      </c>
      <c r="K190" s="13" t="s">
        <v>333</v>
      </c>
      <c r="L190" s="20" t="str">
        <f>HYPERLINK("http://slimages.macys.com/is/image/MCY/11456500 ")</f>
        <v xml:space="preserve">http://slimages.macys.com/is/image/MCY/11456500 </v>
      </c>
    </row>
    <row r="191" spans="1:12" x14ac:dyDescent="0.25">
      <c r="A191" s="19" t="s">
        <v>4162</v>
      </c>
      <c r="B191" s="13" t="s">
        <v>4163</v>
      </c>
      <c r="C191" s="8">
        <v>2</v>
      </c>
      <c r="D191" s="9">
        <v>14.99</v>
      </c>
      <c r="E191" s="9">
        <v>29.98</v>
      </c>
      <c r="F191" s="8">
        <v>100046944</v>
      </c>
      <c r="G191" s="13" t="s">
        <v>62</v>
      </c>
      <c r="H191" s="19" t="s">
        <v>47</v>
      </c>
      <c r="I191" s="13" t="s">
        <v>11</v>
      </c>
      <c r="J191" s="13" t="s">
        <v>266</v>
      </c>
      <c r="K191" s="13" t="s">
        <v>333</v>
      </c>
      <c r="L191" s="20" t="str">
        <f>HYPERLINK("http://slimages.macys.com/is/image/MCY/11456500 ")</f>
        <v xml:space="preserve">http://slimages.macys.com/is/image/MCY/11456500 </v>
      </c>
    </row>
    <row r="192" spans="1:12" x14ac:dyDescent="0.25">
      <c r="A192" s="19" t="s">
        <v>4160</v>
      </c>
      <c r="B192" s="13" t="s">
        <v>4161</v>
      </c>
      <c r="C192" s="8">
        <v>2</v>
      </c>
      <c r="D192" s="9">
        <v>14.99</v>
      </c>
      <c r="E192" s="9">
        <v>29.98</v>
      </c>
      <c r="F192" s="8">
        <v>100046944</v>
      </c>
      <c r="G192" s="13" t="s">
        <v>62</v>
      </c>
      <c r="H192" s="19" t="s">
        <v>87</v>
      </c>
      <c r="I192" s="13" t="s">
        <v>11</v>
      </c>
      <c r="J192" s="13" t="s">
        <v>266</v>
      </c>
      <c r="K192" s="13" t="s">
        <v>333</v>
      </c>
      <c r="L192" s="20" t="str">
        <f>HYPERLINK("http://slimages.macys.com/is/image/MCY/11456500 ")</f>
        <v xml:space="preserve">http://slimages.macys.com/is/image/MCY/11456500 </v>
      </c>
    </row>
    <row r="193" spans="1:12" x14ac:dyDescent="0.25">
      <c r="A193" s="19" t="s">
        <v>4158</v>
      </c>
      <c r="B193" s="13" t="s">
        <v>4159</v>
      </c>
      <c r="C193" s="8">
        <v>5</v>
      </c>
      <c r="D193" s="9">
        <v>14.99</v>
      </c>
      <c r="E193" s="9">
        <v>74.95</v>
      </c>
      <c r="F193" s="8">
        <v>100087987</v>
      </c>
      <c r="G193" s="13" t="s">
        <v>31</v>
      </c>
      <c r="H193" s="19" t="s">
        <v>87</v>
      </c>
      <c r="I193" s="13" t="s">
        <v>11</v>
      </c>
      <c r="J193" s="13" t="s">
        <v>266</v>
      </c>
      <c r="K193" s="13" t="s">
        <v>333</v>
      </c>
      <c r="L193" s="20" t="str">
        <f>HYPERLINK("http://slimages.macys.com/is/image/MCY/11456500 ")</f>
        <v xml:space="preserve">http://slimages.macys.com/is/image/MCY/11456500 </v>
      </c>
    </row>
    <row r="194" spans="1:12" x14ac:dyDescent="0.25">
      <c r="A194" s="19" t="s">
        <v>2911</v>
      </c>
      <c r="B194" s="13" t="s">
        <v>2912</v>
      </c>
      <c r="C194" s="8">
        <v>1</v>
      </c>
      <c r="D194" s="9">
        <v>27.99</v>
      </c>
      <c r="E194" s="9">
        <v>27.99</v>
      </c>
      <c r="F194" s="8" t="s">
        <v>2910</v>
      </c>
      <c r="G194" s="13" t="s">
        <v>270</v>
      </c>
      <c r="H194" s="19" t="s">
        <v>32</v>
      </c>
      <c r="I194" s="13" t="s">
        <v>11</v>
      </c>
      <c r="J194" s="13" t="s">
        <v>266</v>
      </c>
      <c r="K194" s="13" t="s">
        <v>267</v>
      </c>
      <c r="L194" s="20" t="str">
        <f>HYPERLINK("http://slimages.macys.com/is/image/MCY/18992310 ")</f>
        <v xml:space="preserve">http://slimages.macys.com/is/image/MCY/18992310 </v>
      </c>
    </row>
    <row r="195" spans="1:12" x14ac:dyDescent="0.25">
      <c r="A195" s="19" t="s">
        <v>3163</v>
      </c>
      <c r="B195" s="13" t="s">
        <v>3164</v>
      </c>
      <c r="C195" s="8">
        <v>1</v>
      </c>
      <c r="D195" s="9">
        <v>27.99</v>
      </c>
      <c r="E195" s="9">
        <v>27.99</v>
      </c>
      <c r="F195" s="8" t="s">
        <v>1016</v>
      </c>
      <c r="G195" s="13" t="s">
        <v>174</v>
      </c>
      <c r="H195" s="19" t="s">
        <v>40</v>
      </c>
      <c r="I195" s="13" t="s">
        <v>11</v>
      </c>
      <c r="J195" s="13" t="s">
        <v>266</v>
      </c>
      <c r="K195" s="13" t="s">
        <v>267</v>
      </c>
      <c r="L195" s="20" t="str">
        <f>HYPERLINK("http://slimages.macys.com/is/image/MCY/18992310 ")</f>
        <v xml:space="preserve">http://slimages.macys.com/is/image/MCY/18992310 </v>
      </c>
    </row>
    <row r="196" spans="1:12" x14ac:dyDescent="0.25">
      <c r="A196" s="19" t="s">
        <v>3165</v>
      </c>
      <c r="B196" s="13" t="s">
        <v>3166</v>
      </c>
      <c r="C196" s="8">
        <v>1</v>
      </c>
      <c r="D196" s="9">
        <v>27.99</v>
      </c>
      <c r="E196" s="9">
        <v>27.99</v>
      </c>
      <c r="F196" s="8" t="s">
        <v>1016</v>
      </c>
      <c r="G196" s="13" t="s">
        <v>174</v>
      </c>
      <c r="H196" s="19" t="s">
        <v>27</v>
      </c>
      <c r="I196" s="13" t="s">
        <v>11</v>
      </c>
      <c r="J196" s="13" t="s">
        <v>266</v>
      </c>
      <c r="K196" s="13" t="s">
        <v>267</v>
      </c>
      <c r="L196" s="20" t="str">
        <f>HYPERLINK("http://slimages.macys.com/is/image/MCY/18992310 ")</f>
        <v xml:space="preserve">http://slimages.macys.com/is/image/MCY/18992310 </v>
      </c>
    </row>
    <row r="197" spans="1:12" x14ac:dyDescent="0.25">
      <c r="A197" s="19" t="s">
        <v>1009</v>
      </c>
      <c r="B197" s="13" t="s">
        <v>1010</v>
      </c>
      <c r="C197" s="8">
        <v>1</v>
      </c>
      <c r="D197" s="9">
        <v>27.99</v>
      </c>
      <c r="E197" s="9">
        <v>27.99</v>
      </c>
      <c r="F197" s="8" t="s">
        <v>1006</v>
      </c>
      <c r="G197" s="13" t="s">
        <v>78</v>
      </c>
      <c r="H197" s="19" t="s">
        <v>40</v>
      </c>
      <c r="I197" s="13" t="s">
        <v>11</v>
      </c>
      <c r="J197" s="13" t="s">
        <v>266</v>
      </c>
      <c r="K197" s="13" t="s">
        <v>267</v>
      </c>
      <c r="L197" s="20" t="str">
        <f>HYPERLINK("http://slimages.macys.com/is/image/MCY/18992311 ")</f>
        <v xml:space="preserve">http://slimages.macys.com/is/image/MCY/18992311 </v>
      </c>
    </row>
    <row r="198" spans="1:12" x14ac:dyDescent="0.25">
      <c r="A198" s="19" t="s">
        <v>4128</v>
      </c>
      <c r="B198" s="13" t="s">
        <v>4129</v>
      </c>
      <c r="C198" s="8">
        <v>1</v>
      </c>
      <c r="D198" s="9">
        <v>34.99</v>
      </c>
      <c r="E198" s="9">
        <v>34.99</v>
      </c>
      <c r="F198" s="8" t="s">
        <v>4130</v>
      </c>
      <c r="G198" s="13" t="s">
        <v>122</v>
      </c>
      <c r="H198" s="19" t="s">
        <v>40</v>
      </c>
      <c r="I198" s="13" t="s">
        <v>11</v>
      </c>
      <c r="J198" s="13" t="s">
        <v>266</v>
      </c>
      <c r="K198" s="13" t="s">
        <v>267</v>
      </c>
      <c r="L198" s="20" t="str">
        <f>HYPERLINK("http://slimages.macys.com/is/image/MCY/18864841 ")</f>
        <v xml:space="preserve">http://slimages.macys.com/is/image/MCY/18864841 </v>
      </c>
    </row>
    <row r="199" spans="1:12" x14ac:dyDescent="0.25">
      <c r="A199" s="19" t="s">
        <v>3379</v>
      </c>
      <c r="B199" s="13" t="s">
        <v>3380</v>
      </c>
      <c r="C199" s="8">
        <v>3</v>
      </c>
      <c r="D199" s="9">
        <v>24.99</v>
      </c>
      <c r="E199" s="9">
        <v>74.97</v>
      </c>
      <c r="F199" s="8" t="s">
        <v>3372</v>
      </c>
      <c r="G199" s="13" t="s">
        <v>86</v>
      </c>
      <c r="H199" s="19" t="s">
        <v>149</v>
      </c>
      <c r="I199" s="13" t="s">
        <v>11</v>
      </c>
      <c r="J199" s="13" t="s">
        <v>266</v>
      </c>
      <c r="K199" s="13" t="s">
        <v>267</v>
      </c>
      <c r="L199" s="20" t="str">
        <f t="shared" ref="L199:L204" si="0">HYPERLINK("http://slimages.macys.com/is/image/MCY/20226363 ")</f>
        <v xml:space="preserve">http://slimages.macys.com/is/image/MCY/20226363 </v>
      </c>
    </row>
    <row r="200" spans="1:12" x14ac:dyDescent="0.25">
      <c r="A200" s="19" t="s">
        <v>3370</v>
      </c>
      <c r="B200" s="13" t="s">
        <v>3371</v>
      </c>
      <c r="C200" s="8">
        <v>3</v>
      </c>
      <c r="D200" s="9">
        <v>24.99</v>
      </c>
      <c r="E200" s="9">
        <v>74.97</v>
      </c>
      <c r="F200" s="8" t="s">
        <v>3372</v>
      </c>
      <c r="G200" s="13" t="s">
        <v>86</v>
      </c>
      <c r="H200" s="19" t="s">
        <v>286</v>
      </c>
      <c r="I200" s="13" t="s">
        <v>11</v>
      </c>
      <c r="J200" s="13" t="s">
        <v>266</v>
      </c>
      <c r="K200" s="13" t="s">
        <v>267</v>
      </c>
      <c r="L200" s="20" t="str">
        <f t="shared" si="0"/>
        <v xml:space="preserve">http://slimages.macys.com/is/image/MCY/20226363 </v>
      </c>
    </row>
    <row r="201" spans="1:12" x14ac:dyDescent="0.25">
      <c r="A201" s="19" t="s">
        <v>3373</v>
      </c>
      <c r="B201" s="13" t="s">
        <v>3374</v>
      </c>
      <c r="C201" s="8">
        <v>1</v>
      </c>
      <c r="D201" s="9">
        <v>24.99</v>
      </c>
      <c r="E201" s="9">
        <v>24.99</v>
      </c>
      <c r="F201" s="8" t="s">
        <v>3372</v>
      </c>
      <c r="G201" s="13" t="s">
        <v>86</v>
      </c>
      <c r="H201" s="19" t="s">
        <v>158</v>
      </c>
      <c r="I201" s="13" t="s">
        <v>11</v>
      </c>
      <c r="J201" s="13" t="s">
        <v>266</v>
      </c>
      <c r="K201" s="13" t="s">
        <v>267</v>
      </c>
      <c r="L201" s="20" t="str">
        <f t="shared" si="0"/>
        <v xml:space="preserve">http://slimages.macys.com/is/image/MCY/20226363 </v>
      </c>
    </row>
    <row r="202" spans="1:12" x14ac:dyDescent="0.25">
      <c r="A202" s="19" t="s">
        <v>4141</v>
      </c>
      <c r="B202" s="13" t="s">
        <v>4142</v>
      </c>
      <c r="C202" s="8">
        <v>1</v>
      </c>
      <c r="D202" s="9">
        <v>24.99</v>
      </c>
      <c r="E202" s="9">
        <v>24.99</v>
      </c>
      <c r="F202" s="8" t="s">
        <v>739</v>
      </c>
      <c r="G202" s="13" t="s">
        <v>86</v>
      </c>
      <c r="H202" s="19" t="s">
        <v>40</v>
      </c>
      <c r="I202" s="13" t="s">
        <v>11</v>
      </c>
      <c r="J202" s="13" t="s">
        <v>266</v>
      </c>
      <c r="K202" s="13" t="s">
        <v>267</v>
      </c>
      <c r="L202" s="20" t="str">
        <f t="shared" si="0"/>
        <v xml:space="preserve">http://slimages.macys.com/is/image/MCY/20226363 </v>
      </c>
    </row>
    <row r="203" spans="1:12" x14ac:dyDescent="0.25">
      <c r="A203" s="19" t="s">
        <v>4139</v>
      </c>
      <c r="B203" s="13" t="s">
        <v>4140</v>
      </c>
      <c r="C203" s="8">
        <v>2</v>
      </c>
      <c r="D203" s="9">
        <v>24.99</v>
      </c>
      <c r="E203" s="9">
        <v>49.98</v>
      </c>
      <c r="F203" s="8" t="s">
        <v>739</v>
      </c>
      <c r="G203" s="13" t="s">
        <v>86</v>
      </c>
      <c r="H203" s="19" t="s">
        <v>27</v>
      </c>
      <c r="I203" s="13" t="s">
        <v>11</v>
      </c>
      <c r="J203" s="13" t="s">
        <v>266</v>
      </c>
      <c r="K203" s="13" t="s">
        <v>267</v>
      </c>
      <c r="L203" s="20" t="str">
        <f t="shared" si="0"/>
        <v xml:space="preserve">http://slimages.macys.com/is/image/MCY/20226363 </v>
      </c>
    </row>
    <row r="204" spans="1:12" x14ac:dyDescent="0.25">
      <c r="A204" s="19" t="s">
        <v>4143</v>
      </c>
      <c r="B204" s="13" t="s">
        <v>4144</v>
      </c>
      <c r="C204" s="8">
        <v>1</v>
      </c>
      <c r="D204" s="9">
        <v>24.99</v>
      </c>
      <c r="E204" s="9">
        <v>24.99</v>
      </c>
      <c r="F204" s="8" t="s">
        <v>739</v>
      </c>
      <c r="G204" s="13" t="s">
        <v>86</v>
      </c>
      <c r="H204" s="19" t="s">
        <v>87</v>
      </c>
      <c r="I204" s="13" t="s">
        <v>11</v>
      </c>
      <c r="J204" s="13" t="s">
        <v>266</v>
      </c>
      <c r="K204" s="13" t="s">
        <v>267</v>
      </c>
      <c r="L204" s="20" t="str">
        <f t="shared" si="0"/>
        <v xml:space="preserve">http://slimages.macys.com/is/image/MCY/20226363 </v>
      </c>
    </row>
    <row r="205" spans="1:12" x14ac:dyDescent="0.25">
      <c r="A205" s="19" t="s">
        <v>1684</v>
      </c>
      <c r="B205" s="13" t="s">
        <v>1803</v>
      </c>
      <c r="C205" s="8">
        <v>1</v>
      </c>
      <c r="D205" s="9">
        <v>24.99</v>
      </c>
      <c r="E205" s="9">
        <v>24.99</v>
      </c>
      <c r="F205" s="8" t="s">
        <v>739</v>
      </c>
      <c r="G205" s="13" t="s">
        <v>78</v>
      </c>
      <c r="H205" s="19" t="s">
        <v>40</v>
      </c>
      <c r="I205" s="13" t="s">
        <v>11</v>
      </c>
      <c r="J205" s="13" t="s">
        <v>266</v>
      </c>
      <c r="K205" s="13" t="s">
        <v>267</v>
      </c>
      <c r="L205" s="20" t="str">
        <f>HYPERLINK("http://slimages.macys.com/is/image/MCY/20226709 ")</f>
        <v xml:space="preserve">http://slimages.macys.com/is/image/MCY/20226709 </v>
      </c>
    </row>
    <row r="206" spans="1:12" x14ac:dyDescent="0.25">
      <c r="A206" s="19" t="s">
        <v>740</v>
      </c>
      <c r="B206" s="13" t="s">
        <v>741</v>
      </c>
      <c r="C206" s="8">
        <v>1</v>
      </c>
      <c r="D206" s="9">
        <v>24.99</v>
      </c>
      <c r="E206" s="9">
        <v>24.99</v>
      </c>
      <c r="F206" s="8" t="s">
        <v>739</v>
      </c>
      <c r="G206" s="13" t="s">
        <v>78</v>
      </c>
      <c r="H206" s="19" t="s">
        <v>87</v>
      </c>
      <c r="I206" s="13" t="s">
        <v>11</v>
      </c>
      <c r="J206" s="13" t="s">
        <v>266</v>
      </c>
      <c r="K206" s="13" t="s">
        <v>267</v>
      </c>
      <c r="L206" s="20" t="str">
        <f>HYPERLINK("http://slimages.macys.com/is/image/MCY/20226363 ")</f>
        <v xml:space="preserve">http://slimages.macys.com/is/image/MCY/20226363 </v>
      </c>
    </row>
    <row r="207" spans="1:12" x14ac:dyDescent="0.25">
      <c r="A207" s="19" t="s">
        <v>4126</v>
      </c>
      <c r="B207" s="13" t="s">
        <v>4127</v>
      </c>
      <c r="C207" s="8">
        <v>1</v>
      </c>
      <c r="D207" s="9">
        <v>37.99</v>
      </c>
      <c r="E207" s="9">
        <v>37.99</v>
      </c>
      <c r="F207" s="8" t="s">
        <v>738</v>
      </c>
      <c r="G207" s="13" t="s">
        <v>86</v>
      </c>
      <c r="H207" s="19" t="s">
        <v>40</v>
      </c>
      <c r="I207" s="13" t="s">
        <v>11</v>
      </c>
      <c r="J207" s="13" t="s">
        <v>266</v>
      </c>
      <c r="K207" s="13" t="s">
        <v>267</v>
      </c>
      <c r="L207" s="20" t="str">
        <f>HYPERLINK("http://slimages.macys.com/is/image/MCY/1061179 ")</f>
        <v xml:space="preserve">http://slimages.macys.com/is/image/MCY/1061179 </v>
      </c>
    </row>
    <row r="208" spans="1:12" x14ac:dyDescent="0.25">
      <c r="A208" s="19" t="s">
        <v>4124</v>
      </c>
      <c r="B208" s="13" t="s">
        <v>4125</v>
      </c>
      <c r="C208" s="8">
        <v>2</v>
      </c>
      <c r="D208" s="9">
        <v>37.99</v>
      </c>
      <c r="E208" s="9">
        <v>75.98</v>
      </c>
      <c r="F208" s="8" t="s">
        <v>1000</v>
      </c>
      <c r="G208" s="13" t="s">
        <v>104</v>
      </c>
      <c r="H208" s="19" t="s">
        <v>32</v>
      </c>
      <c r="I208" s="13" t="s">
        <v>11</v>
      </c>
      <c r="J208" s="13" t="s">
        <v>266</v>
      </c>
      <c r="K208" s="13" t="s">
        <v>267</v>
      </c>
      <c r="L208" s="20" t="str">
        <f>HYPERLINK("http://slimages.macys.com/is/image/MCY/19714752 ")</f>
        <v xml:space="preserve">http://slimages.macys.com/is/image/MCY/19714752 </v>
      </c>
    </row>
    <row r="209" spans="1:12" x14ac:dyDescent="0.25">
      <c r="A209" s="19" t="s">
        <v>2765</v>
      </c>
      <c r="B209" s="13" t="s">
        <v>2766</v>
      </c>
      <c r="C209" s="8">
        <v>1</v>
      </c>
      <c r="D209" s="9">
        <v>37.99</v>
      </c>
      <c r="E209" s="9">
        <v>37.99</v>
      </c>
      <c r="F209" s="8" t="s">
        <v>1000</v>
      </c>
      <c r="G209" s="13" t="s">
        <v>104</v>
      </c>
      <c r="H209" s="19" t="s">
        <v>55</v>
      </c>
      <c r="I209" s="13" t="s">
        <v>11</v>
      </c>
      <c r="J209" s="13" t="s">
        <v>266</v>
      </c>
      <c r="K209" s="13" t="s">
        <v>267</v>
      </c>
      <c r="L209" s="20" t="str">
        <f>HYPERLINK("http://slimages.macys.com/is/image/MCY/19714752 ")</f>
        <v xml:space="preserve">http://slimages.macys.com/is/image/MCY/19714752 </v>
      </c>
    </row>
    <row r="210" spans="1:12" x14ac:dyDescent="0.25">
      <c r="A210" s="19" t="s">
        <v>4133</v>
      </c>
      <c r="B210" s="13" t="s">
        <v>300</v>
      </c>
      <c r="C210" s="8">
        <v>1</v>
      </c>
      <c r="D210" s="9">
        <v>27.99</v>
      </c>
      <c r="E210" s="9">
        <v>27.99</v>
      </c>
      <c r="F210" s="8" t="s">
        <v>4134</v>
      </c>
      <c r="G210" s="13" t="s">
        <v>270</v>
      </c>
      <c r="H210" s="19" t="s">
        <v>32</v>
      </c>
      <c r="I210" s="13" t="s">
        <v>11</v>
      </c>
      <c r="J210" s="13" t="s">
        <v>266</v>
      </c>
      <c r="K210" s="13" t="s">
        <v>267</v>
      </c>
      <c r="L210" s="20" t="str">
        <f>HYPERLINK("http://slimages.macys.com/is/image/MCY/20128837 ")</f>
        <v xml:space="preserve">http://slimages.macys.com/is/image/MCY/20128837 </v>
      </c>
    </row>
    <row r="211" spans="1:12" x14ac:dyDescent="0.25">
      <c r="A211" s="19" t="s">
        <v>4137</v>
      </c>
      <c r="B211" s="13" t="s">
        <v>4138</v>
      </c>
      <c r="C211" s="8">
        <v>1</v>
      </c>
      <c r="D211" s="9">
        <v>34.99</v>
      </c>
      <c r="E211" s="9">
        <v>34.99</v>
      </c>
      <c r="F211" s="8" t="s">
        <v>3171</v>
      </c>
      <c r="G211" s="13" t="s">
        <v>62</v>
      </c>
      <c r="H211" s="19" t="s">
        <v>32</v>
      </c>
      <c r="I211" s="13" t="s">
        <v>11</v>
      </c>
      <c r="J211" s="13" t="s">
        <v>266</v>
      </c>
      <c r="K211" s="13" t="s">
        <v>267</v>
      </c>
      <c r="L211" s="20" t="str">
        <f>HYPERLINK("http://slimages.macys.com/is/image/MCY/18681078 ")</f>
        <v xml:space="preserve">http://slimages.macys.com/is/image/MCY/18681078 </v>
      </c>
    </row>
    <row r="212" spans="1:12" x14ac:dyDescent="0.25">
      <c r="A212" s="19" t="s">
        <v>4118</v>
      </c>
      <c r="B212" s="13" t="s">
        <v>4119</v>
      </c>
      <c r="C212" s="8">
        <v>1</v>
      </c>
      <c r="D212" s="9">
        <v>49.99</v>
      </c>
      <c r="E212" s="9">
        <v>49.99</v>
      </c>
      <c r="F212" s="8" t="s">
        <v>271</v>
      </c>
      <c r="G212" s="13" t="s">
        <v>31</v>
      </c>
      <c r="H212" s="19" t="s">
        <v>40</v>
      </c>
      <c r="I212" s="13" t="s">
        <v>11</v>
      </c>
      <c r="J212" s="13" t="s">
        <v>266</v>
      </c>
      <c r="K212" s="13" t="s">
        <v>267</v>
      </c>
      <c r="L212" s="20" t="str">
        <f>HYPERLINK("http://slimages.macys.com/is/image/MCY/20492205 ")</f>
        <v xml:space="preserve">http://slimages.macys.com/is/image/MCY/20492205 </v>
      </c>
    </row>
    <row r="213" spans="1:12" x14ac:dyDescent="0.25">
      <c r="A213" s="19" t="s">
        <v>4120</v>
      </c>
      <c r="B213" s="13" t="s">
        <v>4121</v>
      </c>
      <c r="C213" s="8">
        <v>1</v>
      </c>
      <c r="D213" s="9">
        <v>49.99</v>
      </c>
      <c r="E213" s="9">
        <v>49.99</v>
      </c>
      <c r="F213" s="8" t="s">
        <v>271</v>
      </c>
      <c r="G213" s="13" t="s">
        <v>86</v>
      </c>
      <c r="H213" s="19" t="s">
        <v>32</v>
      </c>
      <c r="I213" s="13" t="s">
        <v>11</v>
      </c>
      <c r="J213" s="13" t="s">
        <v>266</v>
      </c>
      <c r="K213" s="13" t="s">
        <v>267</v>
      </c>
      <c r="L213" s="20" t="str">
        <f>HYPERLINK("http://slimages.macys.com/is/image/MCY/20492208 ")</f>
        <v xml:space="preserve">http://slimages.macys.com/is/image/MCY/20492208 </v>
      </c>
    </row>
    <row r="214" spans="1:12" x14ac:dyDescent="0.25">
      <c r="A214" s="19" t="s">
        <v>3666</v>
      </c>
      <c r="B214" s="13" t="s">
        <v>3667</v>
      </c>
      <c r="C214" s="8">
        <v>1</v>
      </c>
      <c r="D214" s="9">
        <v>37.99</v>
      </c>
      <c r="E214" s="9">
        <v>37.99</v>
      </c>
      <c r="F214" s="8" t="s">
        <v>3611</v>
      </c>
      <c r="G214" s="13" t="s">
        <v>122</v>
      </c>
      <c r="H214" s="19" t="s">
        <v>40</v>
      </c>
      <c r="I214" s="13" t="s">
        <v>11</v>
      </c>
      <c r="J214" s="13" t="s">
        <v>266</v>
      </c>
      <c r="K214" s="13" t="s">
        <v>267</v>
      </c>
      <c r="L214" s="20" t="str">
        <f>HYPERLINK("http://slimages.macys.com/is/image/MCY/20325713 ")</f>
        <v xml:space="preserve">http://slimages.macys.com/is/image/MCY/20325713 </v>
      </c>
    </row>
    <row r="215" spans="1:12" x14ac:dyDescent="0.25">
      <c r="A215" s="19" t="s">
        <v>3792</v>
      </c>
      <c r="B215" s="13" t="s">
        <v>3793</v>
      </c>
      <c r="C215" s="8">
        <v>2</v>
      </c>
      <c r="D215" s="9">
        <v>37.99</v>
      </c>
      <c r="E215" s="9">
        <v>75.98</v>
      </c>
      <c r="F215" s="8" t="s">
        <v>3611</v>
      </c>
      <c r="G215" s="13" t="s">
        <v>122</v>
      </c>
      <c r="H215" s="19" t="s">
        <v>55</v>
      </c>
      <c r="I215" s="13" t="s">
        <v>11</v>
      </c>
      <c r="J215" s="13" t="s">
        <v>266</v>
      </c>
      <c r="K215" s="13" t="s">
        <v>267</v>
      </c>
      <c r="L215" s="20" t="str">
        <f>HYPERLINK("http://slimages.macys.com/is/image/MCY/20325522 ")</f>
        <v xml:space="preserve">http://slimages.macys.com/is/image/MCY/20325522 </v>
      </c>
    </row>
    <row r="216" spans="1:12" x14ac:dyDescent="0.25">
      <c r="A216" s="19" t="s">
        <v>3970</v>
      </c>
      <c r="B216" s="13" t="s">
        <v>3971</v>
      </c>
      <c r="C216" s="8">
        <v>1</v>
      </c>
      <c r="D216" s="9">
        <v>37.99</v>
      </c>
      <c r="E216" s="9">
        <v>37.99</v>
      </c>
      <c r="F216" s="8" t="s">
        <v>3611</v>
      </c>
      <c r="G216" s="13" t="s">
        <v>122</v>
      </c>
      <c r="H216" s="19" t="s">
        <v>27</v>
      </c>
      <c r="I216" s="13" t="s">
        <v>11</v>
      </c>
      <c r="J216" s="13" t="s">
        <v>266</v>
      </c>
      <c r="K216" s="13" t="s">
        <v>267</v>
      </c>
      <c r="L216" s="20" t="str">
        <f>HYPERLINK("http://slimages.macys.com/is/image/MCY/20325522 ")</f>
        <v xml:space="preserve">http://slimages.macys.com/is/image/MCY/20325522 </v>
      </c>
    </row>
    <row r="217" spans="1:12" x14ac:dyDescent="0.25">
      <c r="A217" s="19" t="s">
        <v>3609</v>
      </c>
      <c r="B217" s="13" t="s">
        <v>3610</v>
      </c>
      <c r="C217" s="8">
        <v>1</v>
      </c>
      <c r="D217" s="9">
        <v>37.99</v>
      </c>
      <c r="E217" s="9">
        <v>37.99</v>
      </c>
      <c r="F217" s="8" t="s">
        <v>3611</v>
      </c>
      <c r="G217" s="13" t="s">
        <v>122</v>
      </c>
      <c r="H217" s="19" t="s">
        <v>47</v>
      </c>
      <c r="I217" s="13" t="s">
        <v>11</v>
      </c>
      <c r="J217" s="13" t="s">
        <v>266</v>
      </c>
      <c r="K217" s="13" t="s">
        <v>267</v>
      </c>
      <c r="L217" s="20" t="str">
        <f>HYPERLINK("http://slimages.macys.com/is/image/MCY/20325522 ")</f>
        <v xml:space="preserve">http://slimages.macys.com/is/image/MCY/20325522 </v>
      </c>
    </row>
    <row r="218" spans="1:12" x14ac:dyDescent="0.25">
      <c r="A218" s="19" t="s">
        <v>3795</v>
      </c>
      <c r="B218" s="13" t="s">
        <v>3796</v>
      </c>
      <c r="C218" s="8">
        <v>1</v>
      </c>
      <c r="D218" s="9">
        <v>24.99</v>
      </c>
      <c r="E218" s="9">
        <v>24.99</v>
      </c>
      <c r="F218" s="8" t="s">
        <v>3797</v>
      </c>
      <c r="G218" s="13" t="s">
        <v>270</v>
      </c>
      <c r="H218" s="19" t="s">
        <v>55</v>
      </c>
      <c r="I218" s="13" t="s">
        <v>11</v>
      </c>
      <c r="J218" s="13" t="s">
        <v>266</v>
      </c>
      <c r="K218" s="13" t="s">
        <v>267</v>
      </c>
      <c r="L218" s="20" t="str">
        <f>HYPERLINK("http://slimages.macys.com/is/image/MCY/18992352 ")</f>
        <v xml:space="preserve">http://slimages.macys.com/is/image/MCY/18992352 </v>
      </c>
    </row>
    <row r="219" spans="1:12" x14ac:dyDescent="0.25">
      <c r="A219" s="19" t="s">
        <v>4155</v>
      </c>
      <c r="B219" s="13" t="s">
        <v>4156</v>
      </c>
      <c r="C219" s="8">
        <v>1</v>
      </c>
      <c r="D219" s="9">
        <v>19.989999999999998</v>
      </c>
      <c r="E219" s="9">
        <v>19.989999999999998</v>
      </c>
      <c r="F219" s="8" t="s">
        <v>4157</v>
      </c>
      <c r="G219" s="13" t="s">
        <v>31</v>
      </c>
      <c r="H219" s="19" t="s">
        <v>149</v>
      </c>
      <c r="I219" s="13" t="s">
        <v>11</v>
      </c>
      <c r="J219" s="13" t="s">
        <v>266</v>
      </c>
      <c r="K219" s="13" t="s">
        <v>267</v>
      </c>
      <c r="L219" s="20" t="str">
        <f>HYPERLINK("http://slimages.macys.com/is/image/MCY/11456508 ")</f>
        <v xml:space="preserve">http://slimages.macys.com/is/image/MCY/11456508 </v>
      </c>
    </row>
    <row r="220" spans="1:12" x14ac:dyDescent="0.25">
      <c r="A220" s="19" t="s">
        <v>4151</v>
      </c>
      <c r="B220" s="13" t="s">
        <v>4152</v>
      </c>
      <c r="C220" s="8">
        <v>1</v>
      </c>
      <c r="D220" s="9">
        <v>24.99</v>
      </c>
      <c r="E220" s="9">
        <v>24.99</v>
      </c>
      <c r="F220" s="8" t="s">
        <v>1232</v>
      </c>
      <c r="G220" s="13" t="s">
        <v>31</v>
      </c>
      <c r="H220" s="19" t="s">
        <v>286</v>
      </c>
      <c r="I220" s="13" t="s">
        <v>11</v>
      </c>
      <c r="J220" s="13" t="s">
        <v>266</v>
      </c>
      <c r="K220" s="13" t="s">
        <v>267</v>
      </c>
      <c r="L220" s="20" t="str">
        <f>HYPERLINK("http://slimages.macys.com/is/image/MCY/11456516 ")</f>
        <v xml:space="preserve">http://slimages.macys.com/is/image/MCY/11456516 </v>
      </c>
    </row>
    <row r="221" spans="1:12" x14ac:dyDescent="0.25">
      <c r="A221" s="19" t="s">
        <v>3619</v>
      </c>
      <c r="B221" s="13" t="s">
        <v>3620</v>
      </c>
      <c r="C221" s="8">
        <v>2</v>
      </c>
      <c r="D221" s="9">
        <v>16.989999999999998</v>
      </c>
      <c r="E221" s="9">
        <v>33.979999999999997</v>
      </c>
      <c r="F221" s="8" t="s">
        <v>3383</v>
      </c>
      <c r="G221" s="13" t="s">
        <v>104</v>
      </c>
      <c r="H221" s="19" t="s">
        <v>87</v>
      </c>
      <c r="I221" s="13" t="s">
        <v>11</v>
      </c>
      <c r="J221" s="13" t="s">
        <v>266</v>
      </c>
      <c r="K221" s="13" t="s">
        <v>267</v>
      </c>
      <c r="L221" s="20" t="str">
        <f>HYPERLINK("http://slimages.macys.com/is/image/MCY/19762280 ")</f>
        <v xml:space="preserve">http://slimages.macys.com/is/image/MCY/19762280 </v>
      </c>
    </row>
    <row r="222" spans="1:12" x14ac:dyDescent="0.25">
      <c r="A222" s="19" t="s">
        <v>3624</v>
      </c>
      <c r="B222" s="13" t="s">
        <v>3625</v>
      </c>
      <c r="C222" s="8">
        <v>1</v>
      </c>
      <c r="D222" s="9">
        <v>17.989999999999998</v>
      </c>
      <c r="E222" s="9">
        <v>17.989999999999998</v>
      </c>
      <c r="F222" s="8" t="s">
        <v>3623</v>
      </c>
      <c r="G222" s="13" t="s">
        <v>202</v>
      </c>
      <c r="H222" s="19" t="s">
        <v>40</v>
      </c>
      <c r="I222" s="13" t="s">
        <v>11</v>
      </c>
      <c r="J222" s="13" t="s">
        <v>266</v>
      </c>
      <c r="K222" s="13" t="s">
        <v>267</v>
      </c>
      <c r="L222" s="20" t="str">
        <f>HYPERLINK("http://slimages.macys.com/is/image/MCY/19278844 ")</f>
        <v xml:space="preserve">http://slimages.macys.com/is/image/MCY/19278844 </v>
      </c>
    </row>
    <row r="223" spans="1:12" x14ac:dyDescent="0.25">
      <c r="A223" s="19" t="s">
        <v>4145</v>
      </c>
      <c r="B223" s="13" t="s">
        <v>4146</v>
      </c>
      <c r="C223" s="8">
        <v>1</v>
      </c>
      <c r="D223" s="9">
        <v>17.989999999999998</v>
      </c>
      <c r="E223" s="9">
        <v>17.989999999999998</v>
      </c>
      <c r="F223" s="8" t="s">
        <v>3628</v>
      </c>
      <c r="G223" s="13" t="s">
        <v>270</v>
      </c>
      <c r="H223" s="19" t="s">
        <v>27</v>
      </c>
      <c r="I223" s="13" t="s">
        <v>11</v>
      </c>
      <c r="J223" s="13" t="s">
        <v>266</v>
      </c>
      <c r="K223" s="13" t="s">
        <v>267</v>
      </c>
      <c r="L223" s="20" t="str">
        <f>HYPERLINK("http://slimages.macys.com/is/image/MCY/19737298 ")</f>
        <v xml:space="preserve">http://slimages.macys.com/is/image/MCY/19737298 </v>
      </c>
    </row>
    <row r="224" spans="1:12" x14ac:dyDescent="0.25">
      <c r="A224" s="19" t="s">
        <v>4147</v>
      </c>
      <c r="B224" s="13" t="s">
        <v>4148</v>
      </c>
      <c r="C224" s="8">
        <v>2</v>
      </c>
      <c r="D224" s="9">
        <v>17.989999999999998</v>
      </c>
      <c r="E224" s="9">
        <v>35.979999999999997</v>
      </c>
      <c r="F224" s="8" t="s">
        <v>275</v>
      </c>
      <c r="G224" s="13" t="s">
        <v>270</v>
      </c>
      <c r="H224" s="19" t="s">
        <v>32</v>
      </c>
      <c r="I224" s="13" t="s">
        <v>11</v>
      </c>
      <c r="J224" s="13" t="s">
        <v>266</v>
      </c>
      <c r="K224" s="13" t="s">
        <v>267</v>
      </c>
      <c r="L224" s="20" t="str">
        <f>HYPERLINK("http://slimages.macys.com/is/image/MCY/19278844 ")</f>
        <v xml:space="preserve">http://slimages.macys.com/is/image/MCY/19278844 </v>
      </c>
    </row>
    <row r="225" spans="1:12" x14ac:dyDescent="0.25">
      <c r="A225" s="19" t="s">
        <v>4149</v>
      </c>
      <c r="B225" s="13" t="s">
        <v>4150</v>
      </c>
      <c r="C225" s="8">
        <v>1</v>
      </c>
      <c r="D225" s="9">
        <v>17.989999999999998</v>
      </c>
      <c r="E225" s="9">
        <v>17.989999999999998</v>
      </c>
      <c r="F225" s="8" t="s">
        <v>275</v>
      </c>
      <c r="G225" s="13" t="s">
        <v>270</v>
      </c>
      <c r="H225" s="19" t="s">
        <v>40</v>
      </c>
      <c r="I225" s="13" t="s">
        <v>11</v>
      </c>
      <c r="J225" s="13" t="s">
        <v>266</v>
      </c>
      <c r="K225" s="13" t="s">
        <v>267</v>
      </c>
      <c r="L225" s="20" t="str">
        <f>HYPERLINK("http://slimages.macys.com/is/image/MCY/19278844 ")</f>
        <v xml:space="preserve">http://slimages.macys.com/is/image/MCY/19278844 </v>
      </c>
    </row>
    <row r="226" spans="1:12" x14ac:dyDescent="0.25">
      <c r="A226" s="19" t="s">
        <v>3927</v>
      </c>
      <c r="B226" s="13" t="s">
        <v>3928</v>
      </c>
      <c r="C226" s="8">
        <v>1</v>
      </c>
      <c r="D226" s="9">
        <v>17.989999999999998</v>
      </c>
      <c r="E226" s="9">
        <v>17.989999999999998</v>
      </c>
      <c r="F226" s="8" t="s">
        <v>278</v>
      </c>
      <c r="G226" s="13" t="s">
        <v>104</v>
      </c>
      <c r="H226" s="19" t="s">
        <v>32</v>
      </c>
      <c r="I226" s="13" t="s">
        <v>11</v>
      </c>
      <c r="J226" s="13" t="s">
        <v>266</v>
      </c>
      <c r="K226" s="13" t="s">
        <v>267</v>
      </c>
      <c r="L226" s="20" t="str">
        <f>HYPERLINK("http://slimages.macys.com/is/image/MCY/19737298 ")</f>
        <v xml:space="preserve">http://slimages.macys.com/is/image/MCY/19737298 </v>
      </c>
    </row>
    <row r="227" spans="1:12" x14ac:dyDescent="0.25">
      <c r="A227" s="19" t="s">
        <v>279</v>
      </c>
      <c r="B227" s="13" t="s">
        <v>280</v>
      </c>
      <c r="C227" s="8">
        <v>3</v>
      </c>
      <c r="D227" s="9">
        <v>17.989999999999998</v>
      </c>
      <c r="E227" s="9">
        <v>53.97</v>
      </c>
      <c r="F227" s="8" t="s">
        <v>278</v>
      </c>
      <c r="G227" s="13" t="s">
        <v>104</v>
      </c>
      <c r="H227" s="19" t="s">
        <v>55</v>
      </c>
      <c r="I227" s="13" t="s">
        <v>11</v>
      </c>
      <c r="J227" s="13" t="s">
        <v>266</v>
      </c>
      <c r="K227" s="13" t="s">
        <v>267</v>
      </c>
      <c r="L227" s="20" t="str">
        <f>HYPERLINK("http://slimages.macys.com/is/image/MCY/19737298 ")</f>
        <v xml:space="preserve">http://slimages.macys.com/is/image/MCY/19737298 </v>
      </c>
    </row>
    <row r="228" spans="1:12" x14ac:dyDescent="0.25">
      <c r="A228" s="19" t="s">
        <v>276</v>
      </c>
      <c r="B228" s="13" t="s">
        <v>277</v>
      </c>
      <c r="C228" s="8">
        <v>1</v>
      </c>
      <c r="D228" s="9">
        <v>17.989999999999998</v>
      </c>
      <c r="E228" s="9">
        <v>17.989999999999998</v>
      </c>
      <c r="F228" s="8" t="s">
        <v>278</v>
      </c>
      <c r="G228" s="13" t="s">
        <v>104</v>
      </c>
      <c r="H228" s="19" t="s">
        <v>47</v>
      </c>
      <c r="I228" s="13" t="s">
        <v>11</v>
      </c>
      <c r="J228" s="13" t="s">
        <v>266</v>
      </c>
      <c r="K228" s="13" t="s">
        <v>267</v>
      </c>
      <c r="L228" s="20" t="str">
        <f>HYPERLINK("http://slimages.macys.com/is/image/MCY/19737298 ")</f>
        <v xml:space="preserve">http://slimages.macys.com/is/image/MCY/19737298 </v>
      </c>
    </row>
    <row r="229" spans="1:12" x14ac:dyDescent="0.25">
      <c r="A229" s="19" t="s">
        <v>3972</v>
      </c>
      <c r="B229" s="13" t="s">
        <v>3973</v>
      </c>
      <c r="C229" s="8">
        <v>2</v>
      </c>
      <c r="D229" s="9">
        <v>24.99</v>
      </c>
      <c r="E229" s="9">
        <v>49.98</v>
      </c>
      <c r="F229" s="8" t="s">
        <v>3974</v>
      </c>
      <c r="G229" s="13" t="s">
        <v>78</v>
      </c>
      <c r="H229" s="19" t="s">
        <v>55</v>
      </c>
      <c r="I229" s="13" t="s">
        <v>11</v>
      </c>
      <c r="J229" s="13" t="s">
        <v>266</v>
      </c>
      <c r="K229" s="13" t="s">
        <v>267</v>
      </c>
      <c r="L229" s="20" t="str">
        <f>HYPERLINK("http://slimages.macys.com/is/image/MCY/19610908 ")</f>
        <v xml:space="preserve">http://slimages.macys.com/is/image/MCY/19610908 </v>
      </c>
    </row>
    <row r="230" spans="1:12" x14ac:dyDescent="0.25">
      <c r="A230" s="19" t="s">
        <v>3402</v>
      </c>
      <c r="B230" s="13" t="s">
        <v>3403</v>
      </c>
      <c r="C230" s="8">
        <v>1</v>
      </c>
      <c r="D230" s="9">
        <v>26.11</v>
      </c>
      <c r="E230" s="9">
        <v>26.11</v>
      </c>
      <c r="F230" s="8" t="s">
        <v>1811</v>
      </c>
      <c r="G230" s="13" t="s">
        <v>122</v>
      </c>
      <c r="H230" s="19" t="s">
        <v>47</v>
      </c>
      <c r="I230" s="13" t="s">
        <v>11</v>
      </c>
      <c r="J230" s="13" t="s">
        <v>266</v>
      </c>
      <c r="K230" s="13" t="s">
        <v>267</v>
      </c>
      <c r="L230" s="20" t="str">
        <f>HYPERLINK("http://slimages.macys.com/is/image/MCY/19610914 ")</f>
        <v xml:space="preserve">http://slimages.macys.com/is/image/MCY/19610914 </v>
      </c>
    </row>
    <row r="231" spans="1:12" x14ac:dyDescent="0.25">
      <c r="A231" s="19" t="s">
        <v>3752</v>
      </c>
      <c r="B231" s="13" t="s">
        <v>3753</v>
      </c>
      <c r="C231" s="8">
        <v>6</v>
      </c>
      <c r="D231" s="9">
        <v>16.989999999999998</v>
      </c>
      <c r="E231" s="9">
        <v>101.94</v>
      </c>
      <c r="F231" s="8" t="s">
        <v>1806</v>
      </c>
      <c r="G231" s="13" t="s">
        <v>85</v>
      </c>
      <c r="H231" s="19" t="s">
        <v>32</v>
      </c>
      <c r="I231" s="13" t="s">
        <v>11</v>
      </c>
      <c r="J231" s="13" t="s">
        <v>266</v>
      </c>
      <c r="K231" s="13" t="s">
        <v>267</v>
      </c>
      <c r="L231" s="20" t="str">
        <f>HYPERLINK("http://slimages.macys.com/is/image/MCY/1061178 ")</f>
        <v xml:space="preserve">http://slimages.macys.com/is/image/MCY/1061178 </v>
      </c>
    </row>
    <row r="232" spans="1:12" x14ac:dyDescent="0.25">
      <c r="A232" s="19" t="s">
        <v>3392</v>
      </c>
      <c r="B232" s="13" t="s">
        <v>3393</v>
      </c>
      <c r="C232" s="8">
        <v>5</v>
      </c>
      <c r="D232" s="9">
        <v>16.989999999999998</v>
      </c>
      <c r="E232" s="9">
        <v>84.95</v>
      </c>
      <c r="F232" s="8" t="s">
        <v>1806</v>
      </c>
      <c r="G232" s="13" t="s">
        <v>85</v>
      </c>
      <c r="H232" s="19" t="s">
        <v>40</v>
      </c>
      <c r="I232" s="13" t="s">
        <v>11</v>
      </c>
      <c r="J232" s="13" t="s">
        <v>266</v>
      </c>
      <c r="K232" s="13" t="s">
        <v>267</v>
      </c>
      <c r="L232" s="20" t="str">
        <f>HYPERLINK("http://slimages.macys.com/is/image/MCY/1061178 ")</f>
        <v xml:space="preserve">http://slimages.macys.com/is/image/MCY/1061178 </v>
      </c>
    </row>
    <row r="233" spans="1:12" x14ac:dyDescent="0.25">
      <c r="A233" s="19" t="s">
        <v>3396</v>
      </c>
      <c r="B233" s="13" t="s">
        <v>3397</v>
      </c>
      <c r="C233" s="8">
        <v>6</v>
      </c>
      <c r="D233" s="9">
        <v>16.989999999999998</v>
      </c>
      <c r="E233" s="9">
        <v>101.94</v>
      </c>
      <c r="F233" s="8" t="s">
        <v>1806</v>
      </c>
      <c r="G233" s="13" t="s">
        <v>85</v>
      </c>
      <c r="H233" s="19" t="s">
        <v>55</v>
      </c>
      <c r="I233" s="13" t="s">
        <v>11</v>
      </c>
      <c r="J233" s="13" t="s">
        <v>266</v>
      </c>
      <c r="K233" s="13" t="s">
        <v>267</v>
      </c>
      <c r="L233" s="20" t="str">
        <f>HYPERLINK("http://slimages.macys.com/is/image/MCY/20324880 ")</f>
        <v xml:space="preserve">http://slimages.macys.com/is/image/MCY/20324880 </v>
      </c>
    </row>
    <row r="234" spans="1:12" x14ac:dyDescent="0.25">
      <c r="A234" s="19" t="s">
        <v>3629</v>
      </c>
      <c r="B234" s="13" t="s">
        <v>3630</v>
      </c>
      <c r="C234" s="8">
        <v>6</v>
      </c>
      <c r="D234" s="9">
        <v>16.989999999999998</v>
      </c>
      <c r="E234" s="9">
        <v>101.94</v>
      </c>
      <c r="F234" s="8" t="s">
        <v>1806</v>
      </c>
      <c r="G234" s="13" t="s">
        <v>85</v>
      </c>
      <c r="H234" s="19" t="s">
        <v>27</v>
      </c>
      <c r="I234" s="13" t="s">
        <v>11</v>
      </c>
      <c r="J234" s="13" t="s">
        <v>266</v>
      </c>
      <c r="K234" s="13" t="s">
        <v>267</v>
      </c>
      <c r="L234" s="20" t="str">
        <f>HYPERLINK("http://slimages.macys.com/is/image/MCY/1061178 ")</f>
        <v xml:space="preserve">http://slimages.macys.com/is/image/MCY/1061178 </v>
      </c>
    </row>
    <row r="235" spans="1:12" x14ac:dyDescent="0.25">
      <c r="A235" s="19" t="s">
        <v>3386</v>
      </c>
      <c r="B235" s="13" t="s">
        <v>3387</v>
      </c>
      <c r="C235" s="8">
        <v>3</v>
      </c>
      <c r="D235" s="9">
        <v>16.989999999999998</v>
      </c>
      <c r="E235" s="9">
        <v>50.97</v>
      </c>
      <c r="F235" s="8" t="s">
        <v>1806</v>
      </c>
      <c r="G235" s="13" t="s">
        <v>85</v>
      </c>
      <c r="H235" s="19" t="s">
        <v>47</v>
      </c>
      <c r="I235" s="13" t="s">
        <v>11</v>
      </c>
      <c r="J235" s="13" t="s">
        <v>266</v>
      </c>
      <c r="K235" s="13" t="s">
        <v>267</v>
      </c>
      <c r="L235" s="20" t="str">
        <f>HYPERLINK("http://slimages.macys.com/is/image/MCY/20325138 ")</f>
        <v xml:space="preserve">http://slimages.macys.com/is/image/MCY/20325138 </v>
      </c>
    </row>
    <row r="236" spans="1:12" x14ac:dyDescent="0.25">
      <c r="A236" s="19" t="s">
        <v>3388</v>
      </c>
      <c r="B236" s="13" t="s">
        <v>3389</v>
      </c>
      <c r="C236" s="8">
        <v>1</v>
      </c>
      <c r="D236" s="9">
        <v>16.989999999999998</v>
      </c>
      <c r="E236" s="9">
        <v>16.989999999999998</v>
      </c>
      <c r="F236" s="8" t="s">
        <v>1806</v>
      </c>
      <c r="G236" s="13" t="s">
        <v>85</v>
      </c>
      <c r="H236" s="19" t="s">
        <v>87</v>
      </c>
      <c r="I236" s="13" t="s">
        <v>11</v>
      </c>
      <c r="J236" s="13" t="s">
        <v>266</v>
      </c>
      <c r="K236" s="13" t="s">
        <v>267</v>
      </c>
      <c r="L236" s="20" t="str">
        <f>HYPERLINK("http://slimages.macys.com/is/image/MCY/1061178 ")</f>
        <v xml:space="preserve">http://slimages.macys.com/is/image/MCY/1061178 </v>
      </c>
    </row>
    <row r="237" spans="1:12" x14ac:dyDescent="0.25">
      <c r="A237" s="19" t="s">
        <v>3390</v>
      </c>
      <c r="B237" s="13" t="s">
        <v>3391</v>
      </c>
      <c r="C237" s="8">
        <v>3</v>
      </c>
      <c r="D237" s="9">
        <v>16.989999999999998</v>
      </c>
      <c r="E237" s="9">
        <v>50.97</v>
      </c>
      <c r="F237" s="8" t="s">
        <v>1806</v>
      </c>
      <c r="G237" s="13" t="s">
        <v>26</v>
      </c>
      <c r="H237" s="19" t="s">
        <v>32</v>
      </c>
      <c r="I237" s="13" t="s">
        <v>11</v>
      </c>
      <c r="J237" s="13" t="s">
        <v>266</v>
      </c>
      <c r="K237" s="13" t="s">
        <v>267</v>
      </c>
      <c r="L237" s="20" t="str">
        <f>HYPERLINK("http://slimages.macys.com/is/image/MCY/20324880 ")</f>
        <v xml:space="preserve">http://slimages.macys.com/is/image/MCY/20324880 </v>
      </c>
    </row>
    <row r="238" spans="1:12" x14ac:dyDescent="0.25">
      <c r="A238" s="19" t="s">
        <v>3809</v>
      </c>
      <c r="B238" s="13" t="s">
        <v>3810</v>
      </c>
      <c r="C238" s="8">
        <v>9</v>
      </c>
      <c r="D238" s="9">
        <v>16.989999999999998</v>
      </c>
      <c r="E238" s="9">
        <v>152.91</v>
      </c>
      <c r="F238" s="8" t="s">
        <v>1806</v>
      </c>
      <c r="G238" s="13" t="s">
        <v>26</v>
      </c>
      <c r="H238" s="19" t="s">
        <v>40</v>
      </c>
      <c r="I238" s="13" t="s">
        <v>11</v>
      </c>
      <c r="J238" s="13" t="s">
        <v>266</v>
      </c>
      <c r="K238" s="13" t="s">
        <v>267</v>
      </c>
      <c r="L238" s="20" t="str">
        <f>HYPERLINK("http://slimages.macys.com/is/image/MCY/1061178 ")</f>
        <v xml:space="preserve">http://slimages.macys.com/is/image/MCY/1061178 </v>
      </c>
    </row>
    <row r="239" spans="1:12" x14ac:dyDescent="0.25">
      <c r="A239" s="19" t="s">
        <v>3394</v>
      </c>
      <c r="B239" s="13" t="s">
        <v>3395</v>
      </c>
      <c r="C239" s="8">
        <v>7</v>
      </c>
      <c r="D239" s="9">
        <v>16.989999999999998</v>
      </c>
      <c r="E239" s="9">
        <v>118.93</v>
      </c>
      <c r="F239" s="8" t="s">
        <v>1806</v>
      </c>
      <c r="G239" s="13" t="s">
        <v>26</v>
      </c>
      <c r="H239" s="19" t="s">
        <v>55</v>
      </c>
      <c r="I239" s="13" t="s">
        <v>11</v>
      </c>
      <c r="J239" s="13" t="s">
        <v>266</v>
      </c>
      <c r="K239" s="13" t="s">
        <v>267</v>
      </c>
      <c r="L239" s="20" t="str">
        <f>HYPERLINK("http://slimages.macys.com/is/image/MCY/1061178 ")</f>
        <v xml:space="preserve">http://slimages.macys.com/is/image/MCY/1061178 </v>
      </c>
    </row>
    <row r="240" spans="1:12" x14ac:dyDescent="0.25">
      <c r="A240" s="19" t="s">
        <v>1807</v>
      </c>
      <c r="B240" s="13" t="s">
        <v>1808</v>
      </c>
      <c r="C240" s="8">
        <v>3</v>
      </c>
      <c r="D240" s="9">
        <v>16.989999999999998</v>
      </c>
      <c r="E240" s="9">
        <v>50.97</v>
      </c>
      <c r="F240" s="8" t="s">
        <v>1806</v>
      </c>
      <c r="G240" s="13" t="s">
        <v>26</v>
      </c>
      <c r="H240" s="19" t="s">
        <v>27</v>
      </c>
      <c r="I240" s="13" t="s">
        <v>11</v>
      </c>
      <c r="J240" s="13" t="s">
        <v>266</v>
      </c>
      <c r="K240" s="13" t="s">
        <v>267</v>
      </c>
      <c r="L240" s="20" t="str">
        <f>HYPERLINK("http://slimages.macys.com/is/image/MCY/20324880 ")</f>
        <v xml:space="preserve">http://slimages.macys.com/is/image/MCY/20324880 </v>
      </c>
    </row>
    <row r="241" spans="1:12" x14ac:dyDescent="0.25">
      <c r="A241" s="19" t="s">
        <v>1804</v>
      </c>
      <c r="B241" s="13" t="s">
        <v>1805</v>
      </c>
      <c r="C241" s="8">
        <v>4</v>
      </c>
      <c r="D241" s="9">
        <v>16.989999999999998</v>
      </c>
      <c r="E241" s="9">
        <v>67.959999999999994</v>
      </c>
      <c r="F241" s="8" t="s">
        <v>1806</v>
      </c>
      <c r="G241" s="13" t="s">
        <v>26</v>
      </c>
      <c r="H241" s="19" t="s">
        <v>47</v>
      </c>
      <c r="I241" s="13" t="s">
        <v>11</v>
      </c>
      <c r="J241" s="13" t="s">
        <v>266</v>
      </c>
      <c r="K241" s="13" t="s">
        <v>267</v>
      </c>
      <c r="L241" s="20" t="str">
        <f>HYPERLINK("http://slimages.macys.com/is/image/MCY/1061178 ")</f>
        <v xml:space="preserve">http://slimages.macys.com/is/image/MCY/1061178 </v>
      </c>
    </row>
    <row r="242" spans="1:12" x14ac:dyDescent="0.25">
      <c r="A242" s="19" t="s">
        <v>3635</v>
      </c>
      <c r="B242" s="13" t="s">
        <v>3636</v>
      </c>
      <c r="C242" s="8">
        <v>1</v>
      </c>
      <c r="D242" s="9">
        <v>16.989999999999998</v>
      </c>
      <c r="E242" s="9">
        <v>16.989999999999998</v>
      </c>
      <c r="F242" s="8" t="s">
        <v>1806</v>
      </c>
      <c r="G242" s="13" t="s">
        <v>26</v>
      </c>
      <c r="H242" s="19" t="s">
        <v>87</v>
      </c>
      <c r="I242" s="13" t="s">
        <v>11</v>
      </c>
      <c r="J242" s="13" t="s">
        <v>266</v>
      </c>
      <c r="K242" s="13" t="s">
        <v>267</v>
      </c>
      <c r="L242" s="20" t="str">
        <f t="shared" ref="L242:L247" si="1">HYPERLINK("http://slimages.macys.com/is/image/MCY/20324880 ")</f>
        <v xml:space="preserve">http://slimages.macys.com/is/image/MCY/20324880 </v>
      </c>
    </row>
    <row r="243" spans="1:12" x14ac:dyDescent="0.25">
      <c r="A243" s="19" t="s">
        <v>3750</v>
      </c>
      <c r="B243" s="13" t="s">
        <v>3751</v>
      </c>
      <c r="C243" s="8">
        <v>2</v>
      </c>
      <c r="D243" s="9">
        <v>16.989999999999998</v>
      </c>
      <c r="E243" s="9">
        <v>33.979999999999997</v>
      </c>
      <c r="F243" s="8" t="s">
        <v>1806</v>
      </c>
      <c r="G243" s="13" t="s">
        <v>76</v>
      </c>
      <c r="H243" s="19" t="s">
        <v>32</v>
      </c>
      <c r="I243" s="13" t="s">
        <v>11</v>
      </c>
      <c r="J243" s="13" t="s">
        <v>266</v>
      </c>
      <c r="K243" s="13" t="s">
        <v>267</v>
      </c>
      <c r="L243" s="20" t="str">
        <f t="shared" si="1"/>
        <v xml:space="preserve">http://slimages.macys.com/is/image/MCY/20324880 </v>
      </c>
    </row>
    <row r="244" spans="1:12" x14ac:dyDescent="0.25">
      <c r="A244" s="19" t="s">
        <v>3631</v>
      </c>
      <c r="B244" s="13" t="s">
        <v>3632</v>
      </c>
      <c r="C244" s="8">
        <v>4</v>
      </c>
      <c r="D244" s="9">
        <v>16.989999999999998</v>
      </c>
      <c r="E244" s="9">
        <v>67.959999999999994</v>
      </c>
      <c r="F244" s="8" t="s">
        <v>1806</v>
      </c>
      <c r="G244" s="13" t="s">
        <v>76</v>
      </c>
      <c r="H244" s="19" t="s">
        <v>40</v>
      </c>
      <c r="I244" s="13" t="s">
        <v>11</v>
      </c>
      <c r="J244" s="13" t="s">
        <v>266</v>
      </c>
      <c r="K244" s="13" t="s">
        <v>267</v>
      </c>
      <c r="L244" s="20" t="str">
        <f t="shared" si="1"/>
        <v xml:space="preserve">http://slimages.macys.com/is/image/MCY/20324880 </v>
      </c>
    </row>
    <row r="245" spans="1:12" x14ac:dyDescent="0.25">
      <c r="A245" s="19" t="s">
        <v>3400</v>
      </c>
      <c r="B245" s="13" t="s">
        <v>3401</v>
      </c>
      <c r="C245" s="8">
        <v>9</v>
      </c>
      <c r="D245" s="9">
        <v>16.989999999999998</v>
      </c>
      <c r="E245" s="9">
        <v>152.91</v>
      </c>
      <c r="F245" s="8" t="s">
        <v>1806</v>
      </c>
      <c r="G245" s="13" t="s">
        <v>76</v>
      </c>
      <c r="H245" s="19" t="s">
        <v>55</v>
      </c>
      <c r="I245" s="13" t="s">
        <v>11</v>
      </c>
      <c r="J245" s="13" t="s">
        <v>266</v>
      </c>
      <c r="K245" s="13" t="s">
        <v>267</v>
      </c>
      <c r="L245" s="20" t="str">
        <f t="shared" si="1"/>
        <v xml:space="preserve">http://slimages.macys.com/is/image/MCY/20324880 </v>
      </c>
    </row>
    <row r="246" spans="1:12" x14ac:dyDescent="0.25">
      <c r="A246" s="19" t="s">
        <v>3633</v>
      </c>
      <c r="B246" s="13" t="s">
        <v>3634</v>
      </c>
      <c r="C246" s="8">
        <v>3</v>
      </c>
      <c r="D246" s="9">
        <v>16.989999999999998</v>
      </c>
      <c r="E246" s="9">
        <v>50.97</v>
      </c>
      <c r="F246" s="8" t="s">
        <v>1806</v>
      </c>
      <c r="G246" s="13" t="s">
        <v>76</v>
      </c>
      <c r="H246" s="19" t="s">
        <v>27</v>
      </c>
      <c r="I246" s="13" t="s">
        <v>11</v>
      </c>
      <c r="J246" s="13" t="s">
        <v>266</v>
      </c>
      <c r="K246" s="13" t="s">
        <v>267</v>
      </c>
      <c r="L246" s="20" t="str">
        <f t="shared" si="1"/>
        <v xml:space="preserve">http://slimages.macys.com/is/image/MCY/20324880 </v>
      </c>
    </row>
    <row r="247" spans="1:12" x14ac:dyDescent="0.25">
      <c r="A247" s="19" t="s">
        <v>3398</v>
      </c>
      <c r="B247" s="13" t="s">
        <v>3399</v>
      </c>
      <c r="C247" s="8">
        <v>6</v>
      </c>
      <c r="D247" s="9">
        <v>16.989999999999998</v>
      </c>
      <c r="E247" s="9">
        <v>101.94</v>
      </c>
      <c r="F247" s="8" t="s">
        <v>1806</v>
      </c>
      <c r="G247" s="13" t="s">
        <v>76</v>
      </c>
      <c r="H247" s="19" t="s">
        <v>47</v>
      </c>
      <c r="I247" s="13" t="s">
        <v>11</v>
      </c>
      <c r="J247" s="13" t="s">
        <v>266</v>
      </c>
      <c r="K247" s="13" t="s">
        <v>267</v>
      </c>
      <c r="L247" s="20" t="str">
        <f t="shared" si="1"/>
        <v xml:space="preserve">http://slimages.macys.com/is/image/MCY/20324880 </v>
      </c>
    </row>
    <row r="248" spans="1:12" x14ac:dyDescent="0.25">
      <c r="A248" s="19" t="s">
        <v>1809</v>
      </c>
      <c r="B248" s="13" t="s">
        <v>1810</v>
      </c>
      <c r="C248" s="8">
        <v>2</v>
      </c>
      <c r="D248" s="9">
        <v>16.989999999999998</v>
      </c>
      <c r="E248" s="9">
        <v>33.979999999999997</v>
      </c>
      <c r="F248" s="8" t="s">
        <v>1806</v>
      </c>
      <c r="G248" s="13" t="s">
        <v>76</v>
      </c>
      <c r="H248" s="19" t="s">
        <v>87</v>
      </c>
      <c r="I248" s="13" t="s">
        <v>11</v>
      </c>
      <c r="J248" s="13" t="s">
        <v>266</v>
      </c>
      <c r="K248" s="13" t="s">
        <v>267</v>
      </c>
      <c r="L248" s="20" t="str">
        <f>HYPERLINK("http://slimages.macys.com/is/image/MCY/20325138 ")</f>
        <v xml:space="preserve">http://slimages.macys.com/is/image/MCY/20325138 </v>
      </c>
    </row>
    <row r="249" spans="1:12" x14ac:dyDescent="0.25">
      <c r="A249" s="19" t="s">
        <v>3637</v>
      </c>
      <c r="B249" s="13" t="s">
        <v>3638</v>
      </c>
      <c r="C249" s="8">
        <v>1</v>
      </c>
      <c r="D249" s="9">
        <v>16.989999999999998</v>
      </c>
      <c r="E249" s="9">
        <v>16.989999999999998</v>
      </c>
      <c r="F249" s="8" t="s">
        <v>3639</v>
      </c>
      <c r="G249" s="13" t="s">
        <v>83</v>
      </c>
      <c r="H249" s="19" t="s">
        <v>27</v>
      </c>
      <c r="I249" s="13" t="s">
        <v>11</v>
      </c>
      <c r="J249" s="13" t="s">
        <v>266</v>
      </c>
      <c r="K249" s="13" t="s">
        <v>267</v>
      </c>
      <c r="L249" s="20" t="str">
        <f>HYPERLINK("http://slimages.macys.com/is/image/MCY/20584798 ")</f>
        <v xml:space="preserve">http://slimages.macys.com/is/image/MCY/20584798 </v>
      </c>
    </row>
    <row r="250" spans="1:12" x14ac:dyDescent="0.25">
      <c r="A250" s="19" t="s">
        <v>3346</v>
      </c>
      <c r="B250" s="13" t="s">
        <v>3347</v>
      </c>
      <c r="C250" s="8">
        <v>1</v>
      </c>
      <c r="D250" s="9">
        <v>40.99</v>
      </c>
      <c r="E250" s="9">
        <v>40.99</v>
      </c>
      <c r="F250" s="8" t="s">
        <v>3343</v>
      </c>
      <c r="G250" s="13" t="s">
        <v>86</v>
      </c>
      <c r="H250" s="19" t="s">
        <v>149</v>
      </c>
      <c r="I250" s="13" t="s">
        <v>11</v>
      </c>
      <c r="J250" s="13" t="s">
        <v>266</v>
      </c>
      <c r="K250" s="13" t="s">
        <v>267</v>
      </c>
      <c r="L250" s="20" t="str">
        <f>HYPERLINK("http://slimages.macys.com/is/image/MCY/20226828 ")</f>
        <v xml:space="preserve">http://slimages.macys.com/is/image/MCY/20226828 </v>
      </c>
    </row>
    <row r="251" spans="1:12" x14ac:dyDescent="0.25">
      <c r="A251" s="19" t="s">
        <v>3344</v>
      </c>
      <c r="B251" s="13" t="s">
        <v>3345</v>
      </c>
      <c r="C251" s="8">
        <v>3</v>
      </c>
      <c r="D251" s="9">
        <v>40.99</v>
      </c>
      <c r="E251" s="9">
        <v>122.97</v>
      </c>
      <c r="F251" s="8" t="s">
        <v>3343</v>
      </c>
      <c r="G251" s="13" t="s">
        <v>86</v>
      </c>
      <c r="H251" s="19" t="s">
        <v>286</v>
      </c>
      <c r="I251" s="13" t="s">
        <v>11</v>
      </c>
      <c r="J251" s="13" t="s">
        <v>266</v>
      </c>
      <c r="K251" s="13" t="s">
        <v>267</v>
      </c>
      <c r="L251" s="20" t="str">
        <f>HYPERLINK("http://slimages.macys.com/is/image/MCY/20226828 ")</f>
        <v xml:space="preserve">http://slimages.macys.com/is/image/MCY/20226828 </v>
      </c>
    </row>
    <row r="252" spans="1:12" x14ac:dyDescent="0.25">
      <c r="A252" s="19" t="s">
        <v>3341</v>
      </c>
      <c r="B252" s="13" t="s">
        <v>3342</v>
      </c>
      <c r="C252" s="8">
        <v>3</v>
      </c>
      <c r="D252" s="9">
        <v>40.99</v>
      </c>
      <c r="E252" s="9">
        <v>122.97</v>
      </c>
      <c r="F252" s="8" t="s">
        <v>3343</v>
      </c>
      <c r="G252" s="13" t="s">
        <v>86</v>
      </c>
      <c r="H252" s="19" t="s">
        <v>158</v>
      </c>
      <c r="I252" s="13" t="s">
        <v>11</v>
      </c>
      <c r="J252" s="13" t="s">
        <v>266</v>
      </c>
      <c r="K252" s="13" t="s">
        <v>267</v>
      </c>
      <c r="L252" s="20" t="str">
        <f>HYPERLINK("http://slimages.macys.com/is/image/MCY/20226828 ")</f>
        <v xml:space="preserve">http://slimages.macys.com/is/image/MCY/20226828 </v>
      </c>
    </row>
    <row r="253" spans="1:12" x14ac:dyDescent="0.25">
      <c r="A253" s="19" t="s">
        <v>3603</v>
      </c>
      <c r="B253" s="13" t="s">
        <v>3604</v>
      </c>
      <c r="C253" s="8">
        <v>1</v>
      </c>
      <c r="D253" s="9">
        <v>40.99</v>
      </c>
      <c r="E253" s="9">
        <v>40.99</v>
      </c>
      <c r="F253" s="8" t="s">
        <v>2359</v>
      </c>
      <c r="G253" s="13" t="s">
        <v>86</v>
      </c>
      <c r="H253" s="19" t="s">
        <v>32</v>
      </c>
      <c r="I253" s="13" t="s">
        <v>11</v>
      </c>
      <c r="J253" s="13" t="s">
        <v>266</v>
      </c>
      <c r="K253" s="13" t="s">
        <v>267</v>
      </c>
      <c r="L253" s="20" t="str">
        <f>HYPERLINK("http://slimages.macys.com/is/image/MCY/20226765 ")</f>
        <v xml:space="preserve">http://slimages.macys.com/is/image/MCY/20226765 </v>
      </c>
    </row>
    <row r="254" spans="1:12" x14ac:dyDescent="0.25">
      <c r="A254" s="19" t="s">
        <v>3352</v>
      </c>
      <c r="B254" s="13" t="s">
        <v>3353</v>
      </c>
      <c r="C254" s="8">
        <v>3</v>
      </c>
      <c r="D254" s="9">
        <v>40.99</v>
      </c>
      <c r="E254" s="9">
        <v>122.97</v>
      </c>
      <c r="F254" s="8" t="s">
        <v>2359</v>
      </c>
      <c r="G254" s="13" t="s">
        <v>86</v>
      </c>
      <c r="H254" s="19" t="s">
        <v>40</v>
      </c>
      <c r="I254" s="13" t="s">
        <v>11</v>
      </c>
      <c r="J254" s="13" t="s">
        <v>266</v>
      </c>
      <c r="K254" s="13" t="s">
        <v>267</v>
      </c>
      <c r="L254" s="20" t="str">
        <f>HYPERLINK("http://slimages.macys.com/is/image/MCY/1043894 ")</f>
        <v xml:space="preserve">http://slimages.macys.com/is/image/MCY/1043894 </v>
      </c>
    </row>
    <row r="255" spans="1:12" x14ac:dyDescent="0.25">
      <c r="A255" s="19" t="s">
        <v>3601</v>
      </c>
      <c r="B255" s="13" t="s">
        <v>3602</v>
      </c>
      <c r="C255" s="8">
        <v>1</v>
      </c>
      <c r="D255" s="9">
        <v>40.99</v>
      </c>
      <c r="E255" s="9">
        <v>40.99</v>
      </c>
      <c r="F255" s="8" t="s">
        <v>2359</v>
      </c>
      <c r="G255" s="13" t="s">
        <v>86</v>
      </c>
      <c r="H255" s="19" t="s">
        <v>55</v>
      </c>
      <c r="I255" s="13" t="s">
        <v>11</v>
      </c>
      <c r="J255" s="13" t="s">
        <v>266</v>
      </c>
      <c r="K255" s="13" t="s">
        <v>267</v>
      </c>
      <c r="L255" s="20" t="str">
        <f>HYPERLINK("http://slimages.macys.com/is/image/MCY/1043894 ")</f>
        <v xml:space="preserve">http://slimages.macys.com/is/image/MCY/1043894 </v>
      </c>
    </row>
    <row r="256" spans="1:12" x14ac:dyDescent="0.25">
      <c r="A256" s="19" t="s">
        <v>3348</v>
      </c>
      <c r="B256" s="13" t="s">
        <v>3349</v>
      </c>
      <c r="C256" s="8">
        <v>1</v>
      </c>
      <c r="D256" s="9">
        <v>40.99</v>
      </c>
      <c r="E256" s="9">
        <v>40.99</v>
      </c>
      <c r="F256" s="8" t="s">
        <v>2359</v>
      </c>
      <c r="G256" s="13" t="s">
        <v>86</v>
      </c>
      <c r="H256" s="19" t="s">
        <v>27</v>
      </c>
      <c r="I256" s="13" t="s">
        <v>11</v>
      </c>
      <c r="J256" s="13" t="s">
        <v>266</v>
      </c>
      <c r="K256" s="13" t="s">
        <v>267</v>
      </c>
      <c r="L256" s="20" t="str">
        <f>HYPERLINK("http://slimages.macys.com/is/image/MCY/20226828 ")</f>
        <v xml:space="preserve">http://slimages.macys.com/is/image/MCY/20226828 </v>
      </c>
    </row>
    <row r="257" spans="1:12" x14ac:dyDescent="0.25">
      <c r="A257" s="19" t="s">
        <v>3605</v>
      </c>
      <c r="B257" s="13" t="s">
        <v>3606</v>
      </c>
      <c r="C257" s="8">
        <v>2</v>
      </c>
      <c r="D257" s="9">
        <v>40.99</v>
      </c>
      <c r="E257" s="9">
        <v>81.98</v>
      </c>
      <c r="F257" s="8" t="s">
        <v>2359</v>
      </c>
      <c r="G257" s="13" t="s">
        <v>86</v>
      </c>
      <c r="H257" s="19" t="s">
        <v>47</v>
      </c>
      <c r="I257" s="13" t="s">
        <v>11</v>
      </c>
      <c r="J257" s="13" t="s">
        <v>266</v>
      </c>
      <c r="K257" s="13" t="s">
        <v>267</v>
      </c>
      <c r="L257" s="20" t="str">
        <f>HYPERLINK("http://slimages.macys.com/is/image/MCY/1043894 ")</f>
        <v xml:space="preserve">http://slimages.macys.com/is/image/MCY/1043894 </v>
      </c>
    </row>
    <row r="258" spans="1:12" x14ac:dyDescent="0.25">
      <c r="A258" s="19" t="s">
        <v>3968</v>
      </c>
      <c r="B258" s="13" t="s">
        <v>3969</v>
      </c>
      <c r="C258" s="8">
        <v>1</v>
      </c>
      <c r="D258" s="9">
        <v>37.99</v>
      </c>
      <c r="E258" s="9">
        <v>37.99</v>
      </c>
      <c r="F258" s="8" t="s">
        <v>3356</v>
      </c>
      <c r="G258" s="13" t="s">
        <v>189</v>
      </c>
      <c r="H258" s="19" t="s">
        <v>32</v>
      </c>
      <c r="I258" s="13" t="s">
        <v>11</v>
      </c>
      <c r="J258" s="13" t="s">
        <v>266</v>
      </c>
      <c r="K258" s="13" t="s">
        <v>267</v>
      </c>
      <c r="L258" s="20" t="str">
        <f>HYPERLINK("http://slimages.macys.com/is/image/MCY/1043885 ")</f>
        <v xml:space="preserve">http://slimages.macys.com/is/image/MCY/1043885 </v>
      </c>
    </row>
    <row r="259" spans="1:12" x14ac:dyDescent="0.25">
      <c r="A259" s="19" t="s">
        <v>3790</v>
      </c>
      <c r="B259" s="13" t="s">
        <v>3791</v>
      </c>
      <c r="C259" s="8">
        <v>1</v>
      </c>
      <c r="D259" s="9">
        <v>37.99</v>
      </c>
      <c r="E259" s="9">
        <v>37.99</v>
      </c>
      <c r="F259" s="8" t="s">
        <v>3356</v>
      </c>
      <c r="G259" s="13" t="s">
        <v>189</v>
      </c>
      <c r="H259" s="19" t="s">
        <v>40</v>
      </c>
      <c r="I259" s="13" t="s">
        <v>11</v>
      </c>
      <c r="J259" s="13" t="s">
        <v>266</v>
      </c>
      <c r="K259" s="13" t="s">
        <v>267</v>
      </c>
      <c r="L259" s="20" t="str">
        <f>HYPERLINK("http://slimages.macys.com/is/image/MCY/1043889 ")</f>
        <v xml:space="preserve">http://slimages.macys.com/is/image/MCY/1043889 </v>
      </c>
    </row>
    <row r="260" spans="1:12" x14ac:dyDescent="0.25">
      <c r="A260" s="19" t="s">
        <v>1595</v>
      </c>
      <c r="B260" s="13" t="s">
        <v>1596</v>
      </c>
      <c r="C260" s="8">
        <v>1</v>
      </c>
      <c r="D260" s="9">
        <v>37.99</v>
      </c>
      <c r="E260" s="9">
        <v>37.99</v>
      </c>
      <c r="F260" s="8" t="s">
        <v>1212</v>
      </c>
      <c r="G260" s="13" t="s">
        <v>78</v>
      </c>
      <c r="H260" s="19" t="s">
        <v>47</v>
      </c>
      <c r="I260" s="13" t="s">
        <v>11</v>
      </c>
      <c r="J260" s="13" t="s">
        <v>266</v>
      </c>
      <c r="K260" s="13" t="s">
        <v>267</v>
      </c>
      <c r="L260" s="20" t="str">
        <f>HYPERLINK("http://slimages.macys.com/is/image/MCY/1043885 ")</f>
        <v xml:space="preserve">http://slimages.macys.com/is/image/MCY/1043885 </v>
      </c>
    </row>
    <row r="261" spans="1:12" x14ac:dyDescent="0.25">
      <c r="A261" s="19" t="s">
        <v>4122</v>
      </c>
      <c r="B261" s="13" t="s">
        <v>4123</v>
      </c>
      <c r="C261" s="8">
        <v>1</v>
      </c>
      <c r="D261" s="9">
        <v>37.99</v>
      </c>
      <c r="E261" s="9">
        <v>37.99</v>
      </c>
      <c r="F261" s="8" t="s">
        <v>1212</v>
      </c>
      <c r="G261" s="13" t="s">
        <v>78</v>
      </c>
      <c r="H261" s="19" t="s">
        <v>87</v>
      </c>
      <c r="I261" s="13" t="s">
        <v>11</v>
      </c>
      <c r="J261" s="13" t="s">
        <v>266</v>
      </c>
      <c r="K261" s="13" t="s">
        <v>267</v>
      </c>
      <c r="L261" s="20" t="str">
        <f>HYPERLINK("http://slimages.macys.com/is/image/MCY/20196377 ")</f>
        <v xml:space="preserve">http://slimages.macys.com/is/image/MCY/20196377 </v>
      </c>
    </row>
    <row r="262" spans="1:12" x14ac:dyDescent="0.25">
      <c r="A262" s="19" t="s">
        <v>1235</v>
      </c>
      <c r="B262" s="13" t="s">
        <v>1236</v>
      </c>
      <c r="C262" s="8">
        <v>1</v>
      </c>
      <c r="D262" s="9">
        <v>16.989999999999998</v>
      </c>
      <c r="E262" s="9">
        <v>16.989999999999998</v>
      </c>
      <c r="F262" s="8" t="s">
        <v>328</v>
      </c>
      <c r="G262" s="13" t="s">
        <v>31</v>
      </c>
      <c r="H262" s="19" t="s">
        <v>47</v>
      </c>
      <c r="I262" s="13" t="s">
        <v>11</v>
      </c>
      <c r="J262" s="13" t="s">
        <v>266</v>
      </c>
      <c r="K262" s="13" t="s">
        <v>267</v>
      </c>
      <c r="L262" s="20" t="str">
        <f>HYPERLINK("http://slimages.macys.com/is/image/MCY/19638875 ")</f>
        <v xml:space="preserve">http://slimages.macys.com/is/image/MCY/19638875 </v>
      </c>
    </row>
    <row r="263" spans="1:12" x14ac:dyDescent="0.25">
      <c r="A263" s="19" t="s">
        <v>326</v>
      </c>
      <c r="B263" s="13" t="s">
        <v>327</v>
      </c>
      <c r="C263" s="8">
        <v>1</v>
      </c>
      <c r="D263" s="9">
        <v>16.989999999999998</v>
      </c>
      <c r="E263" s="9">
        <v>16.989999999999998</v>
      </c>
      <c r="F263" s="8" t="s">
        <v>328</v>
      </c>
      <c r="G263" s="13" t="s">
        <v>82</v>
      </c>
      <c r="H263" s="19" t="s">
        <v>32</v>
      </c>
      <c r="I263" s="13" t="s">
        <v>11</v>
      </c>
      <c r="J263" s="13" t="s">
        <v>266</v>
      </c>
      <c r="K263" s="13" t="s">
        <v>267</v>
      </c>
      <c r="L263" s="20" t="str">
        <f>HYPERLINK("http://slimages.macys.com/is/image/MCY/19638875 ")</f>
        <v xml:space="preserve">http://slimages.macys.com/is/image/MCY/19638875 </v>
      </c>
    </row>
    <row r="264" spans="1:12" x14ac:dyDescent="0.25">
      <c r="A264" s="19" t="s">
        <v>1237</v>
      </c>
      <c r="B264" s="13" t="s">
        <v>1238</v>
      </c>
      <c r="C264" s="8">
        <v>1</v>
      </c>
      <c r="D264" s="9">
        <v>16.989999999999998</v>
      </c>
      <c r="E264" s="9">
        <v>16.989999999999998</v>
      </c>
      <c r="F264" s="8" t="s">
        <v>328</v>
      </c>
      <c r="G264" s="13" t="s">
        <v>82</v>
      </c>
      <c r="H264" s="19" t="s">
        <v>40</v>
      </c>
      <c r="I264" s="13" t="s">
        <v>11</v>
      </c>
      <c r="J264" s="13" t="s">
        <v>266</v>
      </c>
      <c r="K264" s="13" t="s">
        <v>267</v>
      </c>
      <c r="L264" s="20" t="str">
        <f>HYPERLINK("http://slimages.macys.com/is/image/MCY/19638875 ")</f>
        <v xml:space="preserve">http://slimages.macys.com/is/image/MCY/19638875 </v>
      </c>
    </row>
    <row r="265" spans="1:12" x14ac:dyDescent="0.25">
      <c r="A265" s="19" t="s">
        <v>4164</v>
      </c>
      <c r="B265" s="13" t="s">
        <v>4165</v>
      </c>
      <c r="C265" s="8">
        <v>1</v>
      </c>
      <c r="D265" s="9">
        <v>14.99</v>
      </c>
      <c r="E265" s="9">
        <v>14.99</v>
      </c>
      <c r="F265" s="8" t="s">
        <v>342</v>
      </c>
      <c r="G265" s="13" t="s">
        <v>120</v>
      </c>
      <c r="H265" s="19" t="s">
        <v>32</v>
      </c>
      <c r="I265" s="13" t="s">
        <v>11</v>
      </c>
      <c r="J265" s="13" t="s">
        <v>266</v>
      </c>
      <c r="K265" s="13" t="s">
        <v>267</v>
      </c>
      <c r="L265" s="20" t="str">
        <f>HYPERLINK("http://slimages.macys.com/is/image/MCY/19229415 ")</f>
        <v xml:space="preserve">http://slimages.macys.com/is/image/MCY/19229415 </v>
      </c>
    </row>
    <row r="266" spans="1:12" x14ac:dyDescent="0.25">
      <c r="A266" s="19" t="s">
        <v>3742</v>
      </c>
      <c r="B266" s="13" t="s">
        <v>3743</v>
      </c>
      <c r="C266" s="8">
        <v>1</v>
      </c>
      <c r="D266" s="9">
        <v>32.99</v>
      </c>
      <c r="E266" s="9">
        <v>32.99</v>
      </c>
      <c r="F266" s="8" t="s">
        <v>3663</v>
      </c>
      <c r="G266" s="13" t="s">
        <v>189</v>
      </c>
      <c r="H266" s="19" t="s">
        <v>286</v>
      </c>
      <c r="I266" s="13" t="s">
        <v>11</v>
      </c>
      <c r="J266" s="13" t="s">
        <v>266</v>
      </c>
      <c r="K266" s="13" t="s">
        <v>267</v>
      </c>
      <c r="L266" s="20" t="str">
        <f>HYPERLINK("http://slimages.macys.com/is/image/MCY/946581 ")</f>
        <v xml:space="preserve">http://slimages.macys.com/is/image/MCY/946581 </v>
      </c>
    </row>
    <row r="267" spans="1:12" x14ac:dyDescent="0.25">
      <c r="A267" s="19" t="s">
        <v>3366</v>
      </c>
      <c r="B267" s="13" t="s">
        <v>3367</v>
      </c>
      <c r="C267" s="8">
        <v>5</v>
      </c>
      <c r="D267" s="9">
        <v>27.99</v>
      </c>
      <c r="E267" s="9">
        <v>139.94999999999999</v>
      </c>
      <c r="F267" s="8" t="s">
        <v>3359</v>
      </c>
      <c r="G267" s="13" t="s">
        <v>189</v>
      </c>
      <c r="H267" s="19" t="s">
        <v>286</v>
      </c>
      <c r="I267" s="13" t="s">
        <v>11</v>
      </c>
      <c r="J267" s="13" t="s">
        <v>266</v>
      </c>
      <c r="K267" s="13" t="s">
        <v>267</v>
      </c>
      <c r="L267" s="20" t="str">
        <f>HYPERLINK("http://slimages.macys.com/is/image/MCY/20226009 ")</f>
        <v xml:space="preserve">http://slimages.macys.com/is/image/MCY/20226009 </v>
      </c>
    </row>
    <row r="268" spans="1:12" x14ac:dyDescent="0.25">
      <c r="A268" s="19" t="s">
        <v>3362</v>
      </c>
      <c r="B268" s="13" t="s">
        <v>3363</v>
      </c>
      <c r="C268" s="8">
        <v>1</v>
      </c>
      <c r="D268" s="9">
        <v>27.99</v>
      </c>
      <c r="E268" s="9">
        <v>27.99</v>
      </c>
      <c r="F268" s="8" t="s">
        <v>3359</v>
      </c>
      <c r="G268" s="13" t="s">
        <v>189</v>
      </c>
      <c r="H268" s="19" t="s">
        <v>158</v>
      </c>
      <c r="I268" s="13" t="s">
        <v>11</v>
      </c>
      <c r="J268" s="13" t="s">
        <v>266</v>
      </c>
      <c r="K268" s="13" t="s">
        <v>267</v>
      </c>
      <c r="L268" s="20" t="str">
        <f>HYPERLINK("http://slimages.macys.com/is/image/MCY/20226009 ")</f>
        <v xml:space="preserve">http://slimages.macys.com/is/image/MCY/20226009 </v>
      </c>
    </row>
    <row r="269" spans="1:12" x14ac:dyDescent="0.25">
      <c r="A269" s="19" t="s">
        <v>284</v>
      </c>
      <c r="B269" s="13" t="s">
        <v>285</v>
      </c>
      <c r="C269" s="8">
        <v>1</v>
      </c>
      <c r="D269" s="9">
        <v>26.11</v>
      </c>
      <c r="E269" s="9">
        <v>26.11</v>
      </c>
      <c r="F269" s="8" t="s">
        <v>283</v>
      </c>
      <c r="G269" s="13" t="s">
        <v>189</v>
      </c>
      <c r="H269" s="19" t="s">
        <v>32</v>
      </c>
      <c r="I269" s="13" t="s">
        <v>11</v>
      </c>
      <c r="J269" s="13" t="s">
        <v>266</v>
      </c>
      <c r="K269" s="13" t="s">
        <v>267</v>
      </c>
      <c r="L269" s="20" t="str">
        <f>HYPERLINK("http://slimages.macys.com/is/image/MCY/20226009 ")</f>
        <v xml:space="preserve">http://slimages.macys.com/is/image/MCY/20226009 </v>
      </c>
    </row>
    <row r="270" spans="1:12" x14ac:dyDescent="0.25">
      <c r="A270" s="19" t="s">
        <v>3307</v>
      </c>
      <c r="B270" s="13" t="s">
        <v>3308</v>
      </c>
      <c r="C270" s="8">
        <v>1</v>
      </c>
      <c r="D270" s="9">
        <v>27.99</v>
      </c>
      <c r="E270" s="9">
        <v>27.99</v>
      </c>
      <c r="F270" s="8" t="s">
        <v>283</v>
      </c>
      <c r="G270" s="13" t="s">
        <v>189</v>
      </c>
      <c r="H270" s="19" t="s">
        <v>27</v>
      </c>
      <c r="I270" s="13" t="s">
        <v>11</v>
      </c>
      <c r="J270" s="13" t="s">
        <v>266</v>
      </c>
      <c r="K270" s="13" t="s">
        <v>267</v>
      </c>
      <c r="L270" s="20" t="str">
        <f>HYPERLINK("http://slimages.macys.com/is/image/MCY/20225986 ")</f>
        <v xml:space="preserve">http://slimages.macys.com/is/image/MCY/20225986 </v>
      </c>
    </row>
    <row r="271" spans="1:12" x14ac:dyDescent="0.25">
      <c r="A271" s="19" t="s">
        <v>3607</v>
      </c>
      <c r="B271" s="13" t="s">
        <v>3608</v>
      </c>
      <c r="C271" s="8">
        <v>1</v>
      </c>
      <c r="D271" s="9">
        <v>27.99</v>
      </c>
      <c r="E271" s="9">
        <v>27.99</v>
      </c>
      <c r="F271" s="8" t="s">
        <v>3359</v>
      </c>
      <c r="G271" s="13" t="s">
        <v>122</v>
      </c>
      <c r="H271" s="19" t="s">
        <v>149</v>
      </c>
      <c r="I271" s="13" t="s">
        <v>11</v>
      </c>
      <c r="J271" s="13" t="s">
        <v>266</v>
      </c>
      <c r="K271" s="13" t="s">
        <v>267</v>
      </c>
      <c r="L271" s="20" t="str">
        <f>HYPERLINK("http://slimages.macys.com/is/image/MCY/20226009 ")</f>
        <v xml:space="preserve">http://slimages.macys.com/is/image/MCY/20226009 </v>
      </c>
    </row>
    <row r="272" spans="1:12" x14ac:dyDescent="0.25">
      <c r="A272" s="19" t="s">
        <v>3744</v>
      </c>
      <c r="B272" s="13" t="s">
        <v>3745</v>
      </c>
      <c r="C272" s="8">
        <v>2</v>
      </c>
      <c r="D272" s="9">
        <v>27.99</v>
      </c>
      <c r="E272" s="9">
        <v>55.98</v>
      </c>
      <c r="F272" s="8" t="s">
        <v>3359</v>
      </c>
      <c r="G272" s="13" t="s">
        <v>122</v>
      </c>
      <c r="H272" s="19" t="s">
        <v>286</v>
      </c>
      <c r="I272" s="13" t="s">
        <v>11</v>
      </c>
      <c r="J272" s="13" t="s">
        <v>266</v>
      </c>
      <c r="K272" s="13" t="s">
        <v>267</v>
      </c>
      <c r="L272" s="20" t="str">
        <f>HYPERLINK("http://slimages.macys.com/is/image/MCY/20226009 ")</f>
        <v xml:space="preserve">http://slimages.macys.com/is/image/MCY/20226009 </v>
      </c>
    </row>
    <row r="273" spans="1:12" x14ac:dyDescent="0.25">
      <c r="A273" s="19" t="s">
        <v>3364</v>
      </c>
      <c r="B273" s="13" t="s">
        <v>3365</v>
      </c>
      <c r="C273" s="8">
        <v>2</v>
      </c>
      <c r="D273" s="9">
        <v>27.99</v>
      </c>
      <c r="E273" s="9">
        <v>55.98</v>
      </c>
      <c r="F273" s="8" t="s">
        <v>3359</v>
      </c>
      <c r="G273" s="13" t="s">
        <v>122</v>
      </c>
      <c r="H273" s="19" t="s">
        <v>158</v>
      </c>
      <c r="I273" s="13" t="s">
        <v>11</v>
      </c>
      <c r="J273" s="13" t="s">
        <v>266</v>
      </c>
      <c r="K273" s="13" t="s">
        <v>267</v>
      </c>
      <c r="L273" s="20" t="str">
        <f>HYPERLINK("http://slimages.macys.com/is/image/MCY/20226009 ")</f>
        <v xml:space="preserve">http://slimages.macys.com/is/image/MCY/20226009 </v>
      </c>
    </row>
    <row r="274" spans="1:12" x14ac:dyDescent="0.25">
      <c r="A274" s="19" t="s">
        <v>3357</v>
      </c>
      <c r="B274" s="13" t="s">
        <v>3358</v>
      </c>
      <c r="C274" s="8">
        <v>1</v>
      </c>
      <c r="D274" s="9">
        <v>27.99</v>
      </c>
      <c r="E274" s="9">
        <v>27.99</v>
      </c>
      <c r="F274" s="8" t="s">
        <v>3359</v>
      </c>
      <c r="G274" s="13" t="s">
        <v>205</v>
      </c>
      <c r="H274" s="19" t="s">
        <v>149</v>
      </c>
      <c r="I274" s="13" t="s">
        <v>11</v>
      </c>
      <c r="J274" s="13" t="s">
        <v>266</v>
      </c>
      <c r="K274" s="13" t="s">
        <v>267</v>
      </c>
      <c r="L274" s="20" t="str">
        <f>HYPERLINK("http://slimages.macys.com/is/image/MCY/20226009 ")</f>
        <v xml:space="preserve">http://slimages.macys.com/is/image/MCY/20226009 </v>
      </c>
    </row>
    <row r="275" spans="1:12" x14ac:dyDescent="0.25">
      <c r="A275" s="19" t="s">
        <v>3368</v>
      </c>
      <c r="B275" s="13" t="s">
        <v>3369</v>
      </c>
      <c r="C275" s="8">
        <v>3</v>
      </c>
      <c r="D275" s="9">
        <v>27.99</v>
      </c>
      <c r="E275" s="9">
        <v>83.97</v>
      </c>
      <c r="F275" s="8" t="s">
        <v>3359</v>
      </c>
      <c r="G275" s="13" t="s">
        <v>205</v>
      </c>
      <c r="H275" s="19" t="s">
        <v>286</v>
      </c>
      <c r="I275" s="13" t="s">
        <v>11</v>
      </c>
      <c r="J275" s="13" t="s">
        <v>266</v>
      </c>
      <c r="K275" s="13" t="s">
        <v>267</v>
      </c>
      <c r="L275" s="20" t="str">
        <f>HYPERLINK("http://slimages.macys.com/is/image/MCY/20226009 ")</f>
        <v xml:space="preserve">http://slimages.macys.com/is/image/MCY/20226009 </v>
      </c>
    </row>
    <row r="276" spans="1:12" x14ac:dyDescent="0.25">
      <c r="A276" s="19" t="s">
        <v>4135</v>
      </c>
      <c r="B276" s="13" t="s">
        <v>4136</v>
      </c>
      <c r="C276" s="8">
        <v>1</v>
      </c>
      <c r="D276" s="9">
        <v>27.99</v>
      </c>
      <c r="E276" s="9">
        <v>27.99</v>
      </c>
      <c r="F276" s="8" t="s">
        <v>302</v>
      </c>
      <c r="G276" s="13" t="s">
        <v>62</v>
      </c>
      <c r="H276" s="19" t="s">
        <v>55</v>
      </c>
      <c r="I276" s="13" t="s">
        <v>11</v>
      </c>
      <c r="J276" s="13" t="s">
        <v>266</v>
      </c>
      <c r="K276" s="13" t="s">
        <v>267</v>
      </c>
      <c r="L276" s="20" t="str">
        <f>HYPERLINK("http://slimages.macys.com/is/image/MCY/18532343 ")</f>
        <v xml:space="preserve">http://slimages.macys.com/is/image/MCY/18532343 </v>
      </c>
    </row>
    <row r="277" spans="1:12" x14ac:dyDescent="0.25">
      <c r="A277" s="19" t="s">
        <v>1929</v>
      </c>
      <c r="B277" s="13" t="s">
        <v>1930</v>
      </c>
      <c r="C277" s="8">
        <v>1</v>
      </c>
      <c r="D277" s="9">
        <v>27.99</v>
      </c>
      <c r="E277" s="9">
        <v>27.99</v>
      </c>
      <c r="F277" s="8" t="s">
        <v>1924</v>
      </c>
      <c r="G277" s="13" t="s">
        <v>78</v>
      </c>
      <c r="H277" s="19" t="s">
        <v>27</v>
      </c>
      <c r="I277" s="13" t="s">
        <v>11</v>
      </c>
      <c r="J277" s="13" t="s">
        <v>266</v>
      </c>
      <c r="K277" s="13" t="s">
        <v>267</v>
      </c>
      <c r="L277" s="20" t="str">
        <f>HYPERLINK("http://slimages.macys.com/is/image/MCY/18532343 ")</f>
        <v xml:space="preserve">http://slimages.macys.com/is/image/MCY/18532343 </v>
      </c>
    </row>
    <row r="278" spans="1:12" x14ac:dyDescent="0.25">
      <c r="A278" s="19" t="s">
        <v>1916</v>
      </c>
      <c r="B278" s="13" t="s">
        <v>1917</v>
      </c>
      <c r="C278" s="8">
        <v>1</v>
      </c>
      <c r="D278" s="9">
        <v>27.99</v>
      </c>
      <c r="E278" s="9">
        <v>27.99</v>
      </c>
      <c r="F278" s="8" t="s">
        <v>1203</v>
      </c>
      <c r="G278" s="13" t="s">
        <v>82</v>
      </c>
      <c r="H278" s="19" t="s">
        <v>32</v>
      </c>
      <c r="I278" s="13" t="s">
        <v>11</v>
      </c>
      <c r="J278" s="13" t="s">
        <v>266</v>
      </c>
      <c r="K278" s="13" t="s">
        <v>267</v>
      </c>
      <c r="L278" s="20" t="str">
        <f>HYPERLINK("http://slimages.macys.com/is/image/MCY/18532800 ")</f>
        <v xml:space="preserve">http://slimages.macys.com/is/image/MCY/18532800 </v>
      </c>
    </row>
    <row r="279" spans="1:12" x14ac:dyDescent="0.25">
      <c r="A279" s="19" t="s">
        <v>1918</v>
      </c>
      <c r="B279" s="13" t="s">
        <v>1919</v>
      </c>
      <c r="C279" s="8">
        <v>1</v>
      </c>
      <c r="D279" s="9">
        <v>27.99</v>
      </c>
      <c r="E279" s="9">
        <v>27.99</v>
      </c>
      <c r="F279" s="8" t="s">
        <v>1203</v>
      </c>
      <c r="G279" s="13" t="s">
        <v>82</v>
      </c>
      <c r="H279" s="19" t="s">
        <v>40</v>
      </c>
      <c r="I279" s="13" t="s">
        <v>11</v>
      </c>
      <c r="J279" s="13" t="s">
        <v>266</v>
      </c>
      <c r="K279" s="13" t="s">
        <v>267</v>
      </c>
      <c r="L279" s="20" t="str">
        <f>HYPERLINK("http://slimages.macys.com/is/image/MCY/18532800 ")</f>
        <v xml:space="preserve">http://slimages.macys.com/is/image/MCY/18532800 </v>
      </c>
    </row>
    <row r="280" spans="1:12" x14ac:dyDescent="0.25">
      <c r="A280" s="19" t="s">
        <v>4153</v>
      </c>
      <c r="B280" s="13" t="s">
        <v>4154</v>
      </c>
      <c r="C280" s="8">
        <v>1</v>
      </c>
      <c r="D280" s="9">
        <v>29.99</v>
      </c>
      <c r="E280" s="9">
        <v>29.99</v>
      </c>
      <c r="F280" s="8" t="s">
        <v>3181</v>
      </c>
      <c r="G280" s="13" t="s">
        <v>78</v>
      </c>
      <c r="H280" s="19" t="s">
        <v>55</v>
      </c>
      <c r="I280" s="13" t="s">
        <v>11</v>
      </c>
      <c r="J280" s="13" t="s">
        <v>266</v>
      </c>
      <c r="K280" s="13" t="s">
        <v>267</v>
      </c>
      <c r="L280" s="20" t="str">
        <f>HYPERLINK("http://slimages.macys.com/is/image/MCY/18306280 ")</f>
        <v xml:space="preserve">http://slimages.macys.com/is/image/MCY/18306280 </v>
      </c>
    </row>
    <row r="281" spans="1:12" x14ac:dyDescent="0.25">
      <c r="A281" s="19" t="s">
        <v>3746</v>
      </c>
      <c r="B281" s="13" t="s">
        <v>3747</v>
      </c>
      <c r="C281" s="8">
        <v>1</v>
      </c>
      <c r="D281" s="9">
        <v>27.99</v>
      </c>
      <c r="E281" s="9">
        <v>27.99</v>
      </c>
      <c r="F281" s="8" t="s">
        <v>3614</v>
      </c>
      <c r="G281" s="13" t="s">
        <v>122</v>
      </c>
      <c r="H281" s="19" t="s">
        <v>40</v>
      </c>
      <c r="I281" s="13" t="s">
        <v>11</v>
      </c>
      <c r="J281" s="13" t="s">
        <v>266</v>
      </c>
      <c r="K281" s="13" t="s">
        <v>267</v>
      </c>
      <c r="L281" s="20" t="str">
        <f>HYPERLINK("http://slimages.macys.com/is/image/MCY/20325718 ")</f>
        <v xml:space="preserve">http://slimages.macys.com/is/image/MCY/20325718 </v>
      </c>
    </row>
    <row r="282" spans="1:12" x14ac:dyDescent="0.25">
      <c r="A282" s="19" t="s">
        <v>4131</v>
      </c>
      <c r="B282" s="13" t="s">
        <v>4132</v>
      </c>
      <c r="C282" s="8">
        <v>1</v>
      </c>
      <c r="D282" s="9">
        <v>27.99</v>
      </c>
      <c r="E282" s="9">
        <v>27.99</v>
      </c>
      <c r="F282" s="8" t="s">
        <v>3614</v>
      </c>
      <c r="G282" s="13" t="s">
        <v>122</v>
      </c>
      <c r="H282" s="19" t="s">
        <v>55</v>
      </c>
      <c r="I282" s="13" t="s">
        <v>11</v>
      </c>
      <c r="J282" s="13" t="s">
        <v>266</v>
      </c>
      <c r="K282" s="13" t="s">
        <v>267</v>
      </c>
      <c r="L282" s="20" t="str">
        <f>HYPERLINK("http://slimages.macys.com/is/image/MCY/20325718 ")</f>
        <v xml:space="preserve">http://slimages.macys.com/is/image/MCY/20325718 </v>
      </c>
    </row>
    <row r="283" spans="1:12" x14ac:dyDescent="0.25">
      <c r="A283" s="19" t="s">
        <v>3615</v>
      </c>
      <c r="B283" s="13" t="s">
        <v>3616</v>
      </c>
      <c r="C283" s="8">
        <v>1</v>
      </c>
      <c r="D283" s="9">
        <v>27.99</v>
      </c>
      <c r="E283" s="9">
        <v>27.99</v>
      </c>
      <c r="F283" s="8" t="s">
        <v>3614</v>
      </c>
      <c r="G283" s="13" t="s">
        <v>122</v>
      </c>
      <c r="H283" s="19" t="s">
        <v>27</v>
      </c>
      <c r="I283" s="13" t="s">
        <v>11</v>
      </c>
      <c r="J283" s="13" t="s">
        <v>266</v>
      </c>
      <c r="K283" s="13" t="s">
        <v>267</v>
      </c>
      <c r="L283" s="20" t="str">
        <f>HYPERLINK("http://slimages.macys.com/is/image/MCY/20325718 ")</f>
        <v xml:space="preserve">http://slimages.macys.com/is/image/MCY/20325718 </v>
      </c>
    </row>
    <row r="284" spans="1:12" x14ac:dyDescent="0.25">
      <c r="A284" s="19" t="s">
        <v>3612</v>
      </c>
      <c r="B284" s="13" t="s">
        <v>3613</v>
      </c>
      <c r="C284" s="8">
        <v>1</v>
      </c>
      <c r="D284" s="9">
        <v>27.99</v>
      </c>
      <c r="E284" s="9">
        <v>27.99</v>
      </c>
      <c r="F284" s="8" t="s">
        <v>3614</v>
      </c>
      <c r="G284" s="13" t="s">
        <v>122</v>
      </c>
      <c r="H284" s="19" t="s">
        <v>87</v>
      </c>
      <c r="I284" s="13" t="s">
        <v>11</v>
      </c>
      <c r="J284" s="13" t="s">
        <v>266</v>
      </c>
      <c r="K284" s="13" t="s">
        <v>267</v>
      </c>
      <c r="L284" s="20" t="str">
        <f>HYPERLINK("http://slimages.macys.com/is/image/MCY/20325718 ")</f>
        <v xml:space="preserve">http://slimages.macys.com/is/image/MCY/20325718 </v>
      </c>
    </row>
    <row r="285" spans="1:12" x14ac:dyDescent="0.25">
      <c r="A285" s="19" t="s">
        <v>511</v>
      </c>
      <c r="B285" s="13" t="s">
        <v>512</v>
      </c>
      <c r="C285" s="8">
        <v>1</v>
      </c>
      <c r="D285" s="9">
        <v>5.6</v>
      </c>
      <c r="E285" s="9">
        <v>5.6</v>
      </c>
      <c r="F285" s="8">
        <v>100138182</v>
      </c>
      <c r="G285" s="13" t="s">
        <v>76</v>
      </c>
      <c r="H285" s="19" t="s">
        <v>32</v>
      </c>
      <c r="I285" s="13" t="s">
        <v>11</v>
      </c>
      <c r="J285" s="13" t="s">
        <v>457</v>
      </c>
      <c r="K285" s="13" t="s">
        <v>459</v>
      </c>
      <c r="L285" s="20" t="str">
        <f>HYPERLINK("http://slimages.macys.com/is/image/MCY/19787476 ")</f>
        <v xml:space="preserve">http://slimages.macys.com/is/image/MCY/19787476 </v>
      </c>
    </row>
    <row r="286" spans="1:12" x14ac:dyDescent="0.25">
      <c r="A286" s="19" t="s">
        <v>809</v>
      </c>
      <c r="B286" s="13" t="s">
        <v>810</v>
      </c>
      <c r="C286" s="8">
        <v>1</v>
      </c>
      <c r="D286" s="9">
        <v>10</v>
      </c>
      <c r="E286" s="9">
        <v>10</v>
      </c>
      <c r="F286" s="8">
        <v>100133612</v>
      </c>
      <c r="G286" s="13" t="s">
        <v>86</v>
      </c>
      <c r="H286" s="19"/>
      <c r="I286" s="13" t="s">
        <v>11</v>
      </c>
      <c r="J286" s="13" t="s">
        <v>457</v>
      </c>
      <c r="K286" s="13" t="s">
        <v>459</v>
      </c>
      <c r="L286" s="20" t="str">
        <f>HYPERLINK("http://slimages.macys.com/is/image/MCY/19877645 ")</f>
        <v xml:space="preserve">http://slimages.macys.com/is/image/MCY/19877645 </v>
      </c>
    </row>
    <row r="287" spans="1:12" x14ac:dyDescent="0.25">
      <c r="A287" s="19" t="s">
        <v>817</v>
      </c>
      <c r="B287" s="13" t="s">
        <v>818</v>
      </c>
      <c r="C287" s="8">
        <v>1</v>
      </c>
      <c r="D287" s="9">
        <v>10</v>
      </c>
      <c r="E287" s="9">
        <v>10</v>
      </c>
      <c r="F287" s="8">
        <v>100132111</v>
      </c>
      <c r="G287" s="13" t="s">
        <v>31</v>
      </c>
      <c r="H287" s="19" t="s">
        <v>27</v>
      </c>
      <c r="I287" s="13" t="s">
        <v>11</v>
      </c>
      <c r="J287" s="13" t="s">
        <v>457</v>
      </c>
      <c r="K287" s="13" t="s">
        <v>459</v>
      </c>
      <c r="L287" s="20" t="str">
        <f>HYPERLINK("http://slimages.macys.com/is/image/MCY/19278703 ")</f>
        <v xml:space="preserve">http://slimages.macys.com/is/image/MCY/19278703 </v>
      </c>
    </row>
    <row r="288" spans="1:12" x14ac:dyDescent="0.25">
      <c r="A288" s="19" t="s">
        <v>4206</v>
      </c>
      <c r="B288" s="13" t="s">
        <v>4207</v>
      </c>
      <c r="C288" s="8">
        <v>1</v>
      </c>
      <c r="D288" s="9">
        <v>5.6</v>
      </c>
      <c r="E288" s="9">
        <v>5.6</v>
      </c>
      <c r="F288" s="8">
        <v>100120848</v>
      </c>
      <c r="G288" s="13" t="s">
        <v>205</v>
      </c>
      <c r="H288" s="19" t="s">
        <v>40</v>
      </c>
      <c r="I288" s="13" t="s">
        <v>11</v>
      </c>
      <c r="J288" s="13" t="s">
        <v>457</v>
      </c>
      <c r="K288" s="13" t="s">
        <v>459</v>
      </c>
      <c r="L288" s="20" t="str">
        <f>HYPERLINK("http://slimages.macys.com/is/image/MCY/18422071 ")</f>
        <v xml:space="preserve">http://slimages.macys.com/is/image/MCY/18422071 </v>
      </c>
    </row>
    <row r="289" spans="1:12" x14ac:dyDescent="0.25">
      <c r="A289" s="19" t="s">
        <v>4229</v>
      </c>
      <c r="B289" s="13" t="s">
        <v>4230</v>
      </c>
      <c r="C289" s="8">
        <v>1</v>
      </c>
      <c r="D289" s="9">
        <v>23.8</v>
      </c>
      <c r="E289" s="9">
        <v>23.8</v>
      </c>
      <c r="F289" s="8">
        <v>16674</v>
      </c>
      <c r="G289" s="13" t="s">
        <v>202</v>
      </c>
      <c r="H289" s="19" t="s">
        <v>27</v>
      </c>
      <c r="I289" s="13" t="s">
        <v>11</v>
      </c>
      <c r="J289" s="13" t="s">
        <v>539</v>
      </c>
      <c r="K289" s="13" t="s">
        <v>889</v>
      </c>
      <c r="L289" s="20" t="str">
        <f>HYPERLINK("http://slimages.macys.com/is/image/MCY/18785585 ")</f>
        <v xml:space="preserve">http://slimages.macys.com/is/image/MCY/18785585 </v>
      </c>
    </row>
    <row r="290" spans="1:12" x14ac:dyDescent="0.25">
      <c r="A290" s="19" t="s">
        <v>4064</v>
      </c>
      <c r="B290" s="13" t="s">
        <v>4065</v>
      </c>
      <c r="C290" s="8">
        <v>1</v>
      </c>
      <c r="D290" s="9">
        <v>65</v>
      </c>
      <c r="E290" s="9">
        <v>65</v>
      </c>
      <c r="F290" s="8">
        <v>3315</v>
      </c>
      <c r="G290" s="13" t="s">
        <v>114</v>
      </c>
      <c r="H290" s="19" t="s">
        <v>3305</v>
      </c>
      <c r="I290" s="13" t="s">
        <v>893</v>
      </c>
      <c r="J290" s="13" t="s">
        <v>233</v>
      </c>
      <c r="K290" s="13" t="s">
        <v>3306</v>
      </c>
      <c r="L290" s="20" t="str">
        <f>HYPERLINK("http://images.bloomingdales.com/is/image/BLM/10274646 ")</f>
        <v xml:space="preserve">http://images.bloomingdales.com/is/image/BLM/10274646 </v>
      </c>
    </row>
    <row r="291" spans="1:12" x14ac:dyDescent="0.25">
      <c r="A291" s="19" t="s">
        <v>1192</v>
      </c>
      <c r="B291" s="13" t="s">
        <v>1193</v>
      </c>
      <c r="C291" s="8">
        <v>1</v>
      </c>
      <c r="D291" s="9">
        <v>31.5</v>
      </c>
      <c r="E291" s="9">
        <v>31.5</v>
      </c>
      <c r="F291" s="8" t="s">
        <v>256</v>
      </c>
      <c r="G291" s="13" t="s">
        <v>31</v>
      </c>
      <c r="H291" s="19" t="s">
        <v>55</v>
      </c>
      <c r="I291" s="13" t="s">
        <v>11</v>
      </c>
      <c r="J291" s="13" t="s">
        <v>240</v>
      </c>
      <c r="K291" s="13" t="s">
        <v>245</v>
      </c>
      <c r="L291" s="20" t="str">
        <f>HYPERLINK("http://slimages.macys.com/is/image/MCY/19632284 ")</f>
        <v xml:space="preserve">http://slimages.macys.com/is/image/MCY/19632284 </v>
      </c>
    </row>
    <row r="292" spans="1:12" x14ac:dyDescent="0.25">
      <c r="A292" s="19" t="s">
        <v>4088</v>
      </c>
      <c r="B292" s="13" t="s">
        <v>4089</v>
      </c>
      <c r="C292" s="8">
        <v>1</v>
      </c>
      <c r="D292" s="9">
        <v>43.5</v>
      </c>
      <c r="E292" s="9">
        <v>43.5</v>
      </c>
      <c r="F292" s="8" t="s">
        <v>4090</v>
      </c>
      <c r="G292" s="13" t="s">
        <v>86</v>
      </c>
      <c r="H292" s="19" t="s">
        <v>255</v>
      </c>
      <c r="I292" s="13" t="s">
        <v>11</v>
      </c>
      <c r="J292" s="13" t="s">
        <v>240</v>
      </c>
      <c r="K292" s="13" t="s">
        <v>245</v>
      </c>
      <c r="L292" s="20" t="str">
        <f>HYPERLINK("http://slimages.macys.com/is/image/MCY/18993207 ")</f>
        <v xml:space="preserve">http://slimages.macys.com/is/image/MCY/18993207 </v>
      </c>
    </row>
    <row r="293" spans="1:12" x14ac:dyDescent="0.25">
      <c r="A293" s="19" t="s">
        <v>4096</v>
      </c>
      <c r="B293" s="13" t="s">
        <v>4097</v>
      </c>
      <c r="C293" s="8">
        <v>1</v>
      </c>
      <c r="D293" s="9">
        <v>34.5</v>
      </c>
      <c r="E293" s="9">
        <v>34.5</v>
      </c>
      <c r="F293" s="8" t="s">
        <v>3912</v>
      </c>
      <c r="G293" s="13" t="s">
        <v>31</v>
      </c>
      <c r="H293" s="19" t="s">
        <v>40</v>
      </c>
      <c r="I293" s="13" t="s">
        <v>11</v>
      </c>
      <c r="J293" s="13" t="s">
        <v>240</v>
      </c>
      <c r="K293" s="13" t="s">
        <v>245</v>
      </c>
      <c r="L293" s="20" t="str">
        <f>HYPERLINK("http://slimages.macys.com/is/image/MCY/20165417 ")</f>
        <v xml:space="preserve">http://slimages.macys.com/is/image/MCY/20165417 </v>
      </c>
    </row>
    <row r="294" spans="1:12" x14ac:dyDescent="0.25">
      <c r="A294" s="19" t="s">
        <v>4085</v>
      </c>
      <c r="B294" s="13" t="s">
        <v>4086</v>
      </c>
      <c r="C294" s="8">
        <v>1</v>
      </c>
      <c r="D294" s="9">
        <v>48.75</v>
      </c>
      <c r="E294" s="9">
        <v>48.75</v>
      </c>
      <c r="F294" s="8" t="s">
        <v>4087</v>
      </c>
      <c r="G294" s="13" t="s">
        <v>58</v>
      </c>
      <c r="H294" s="19" t="s">
        <v>55</v>
      </c>
      <c r="I294" s="13" t="s">
        <v>11</v>
      </c>
      <c r="J294" s="13" t="s">
        <v>240</v>
      </c>
      <c r="K294" s="13" t="s">
        <v>245</v>
      </c>
      <c r="L294" s="20" t="str">
        <f>HYPERLINK("http://slimages.macys.com/is/image/MCY/11935080 ")</f>
        <v xml:space="preserve">http://slimages.macys.com/is/image/MCY/11935080 </v>
      </c>
    </row>
    <row r="295" spans="1:12" x14ac:dyDescent="0.25">
      <c r="A295" s="19" t="s">
        <v>1030</v>
      </c>
      <c r="B295" s="13" t="s">
        <v>1031</v>
      </c>
      <c r="C295" s="8">
        <v>1</v>
      </c>
      <c r="D295" s="9">
        <v>69</v>
      </c>
      <c r="E295" s="9">
        <v>69</v>
      </c>
      <c r="F295" s="8" t="s">
        <v>1032</v>
      </c>
      <c r="G295" s="13"/>
      <c r="H295" s="19" t="s">
        <v>27</v>
      </c>
      <c r="I295" s="13" t="s">
        <v>893</v>
      </c>
      <c r="J295" s="13" t="s">
        <v>343</v>
      </c>
      <c r="K295" s="13" t="s">
        <v>543</v>
      </c>
      <c r="L295" s="20" t="str">
        <f>HYPERLINK("http://slimages.macys.com/is/image/MCY/19565507 ")</f>
        <v xml:space="preserve">http://slimages.macys.com/is/image/MCY/19565507 </v>
      </c>
    </row>
    <row r="296" spans="1:12" x14ac:dyDescent="0.25">
      <c r="A296" s="19" t="s">
        <v>4002</v>
      </c>
      <c r="B296" s="13" t="s">
        <v>4003</v>
      </c>
      <c r="C296" s="8">
        <v>1</v>
      </c>
      <c r="D296" s="9">
        <v>28.5</v>
      </c>
      <c r="E296" s="9">
        <v>28.5</v>
      </c>
      <c r="F296" s="8">
        <v>7112</v>
      </c>
      <c r="G296" s="13" t="s">
        <v>122</v>
      </c>
      <c r="H296" s="19" t="s">
        <v>147</v>
      </c>
      <c r="I296" s="13" t="s">
        <v>11</v>
      </c>
      <c r="J296" s="13" t="s">
        <v>109</v>
      </c>
      <c r="K296" s="13" t="s">
        <v>123</v>
      </c>
      <c r="L296" s="20" t="str">
        <f>HYPERLINK("http://slimages.macys.com/is/image/MCY/3609835 ")</f>
        <v xml:space="preserve">http://slimages.macys.com/is/image/MCY/3609835 </v>
      </c>
    </row>
    <row r="297" spans="1:12" x14ac:dyDescent="0.25">
      <c r="A297" s="19" t="s">
        <v>3901</v>
      </c>
      <c r="B297" s="13" t="s">
        <v>3902</v>
      </c>
      <c r="C297" s="8">
        <v>1</v>
      </c>
      <c r="D297" s="9">
        <v>28.5</v>
      </c>
      <c r="E297" s="9">
        <v>28.5</v>
      </c>
      <c r="F297" s="8">
        <v>7112</v>
      </c>
      <c r="G297" s="13" t="s">
        <v>122</v>
      </c>
      <c r="H297" s="19" t="s">
        <v>115</v>
      </c>
      <c r="I297" s="13" t="s">
        <v>11</v>
      </c>
      <c r="J297" s="13" t="s">
        <v>109</v>
      </c>
      <c r="K297" s="13" t="s">
        <v>123</v>
      </c>
      <c r="L297" s="20" t="str">
        <f>HYPERLINK("http://slimages.macys.com/is/image/MCY/3609835 ")</f>
        <v xml:space="preserve">http://slimages.macys.com/is/image/MCY/3609835 </v>
      </c>
    </row>
    <row r="298" spans="1:12" x14ac:dyDescent="0.25">
      <c r="A298" s="19" t="s">
        <v>610</v>
      </c>
      <c r="B298" s="13" t="s">
        <v>611</v>
      </c>
      <c r="C298" s="8">
        <v>1</v>
      </c>
      <c r="D298" s="9">
        <v>28.5</v>
      </c>
      <c r="E298" s="9">
        <v>28.5</v>
      </c>
      <c r="F298" s="8">
        <v>7112</v>
      </c>
      <c r="G298" s="13" t="s">
        <v>122</v>
      </c>
      <c r="H298" s="19" t="s">
        <v>235</v>
      </c>
      <c r="I298" s="13" t="s">
        <v>11</v>
      </c>
      <c r="J298" s="13" t="s">
        <v>109</v>
      </c>
      <c r="K298" s="13" t="s">
        <v>123</v>
      </c>
      <c r="L298" s="20" t="str">
        <f>HYPERLINK("http://slimages.macys.com/is/image/MCY/3609835 ")</f>
        <v xml:space="preserve">http://slimages.macys.com/is/image/MCY/3609835 </v>
      </c>
    </row>
    <row r="299" spans="1:12" x14ac:dyDescent="0.25">
      <c r="A299" s="19" t="s">
        <v>4208</v>
      </c>
      <c r="B299" s="13" t="s">
        <v>4209</v>
      </c>
      <c r="C299" s="8">
        <v>1</v>
      </c>
      <c r="D299" s="9">
        <v>56</v>
      </c>
      <c r="E299" s="9">
        <v>56</v>
      </c>
      <c r="F299" s="8">
        <v>2782</v>
      </c>
      <c r="G299" s="13" t="s">
        <v>127</v>
      </c>
      <c r="H299" s="19" t="s">
        <v>536</v>
      </c>
      <c r="I299" s="13" t="s">
        <v>11</v>
      </c>
      <c r="J299" s="13" t="s">
        <v>533</v>
      </c>
      <c r="K299" s="13" t="s">
        <v>538</v>
      </c>
      <c r="L299" s="20" t="str">
        <f>HYPERLINK("http://slimages.macys.com/is/image/MCY/8515971 ")</f>
        <v xml:space="preserve">http://slimages.macys.com/is/image/MCY/8515971 </v>
      </c>
    </row>
    <row r="300" spans="1:12" x14ac:dyDescent="0.25">
      <c r="A300" s="19" t="s">
        <v>4213</v>
      </c>
      <c r="B300" s="13" t="s">
        <v>4214</v>
      </c>
      <c r="C300" s="8">
        <v>3</v>
      </c>
      <c r="D300" s="9">
        <v>51.75</v>
      </c>
      <c r="E300" s="9">
        <v>155.25</v>
      </c>
      <c r="F300" s="8">
        <v>536551</v>
      </c>
      <c r="G300" s="13"/>
      <c r="H300" s="19" t="s">
        <v>32</v>
      </c>
      <c r="I300" s="13" t="s">
        <v>11</v>
      </c>
      <c r="J300" s="13" t="s">
        <v>539</v>
      </c>
      <c r="K300" s="13" t="s">
        <v>541</v>
      </c>
      <c r="L300" s="20" t="str">
        <f>HYPERLINK("http://slimages.macys.com/is/image/MCY/19907942 ")</f>
        <v xml:space="preserve">http://slimages.macys.com/is/image/MCY/19907942 </v>
      </c>
    </row>
    <row r="301" spans="1:12" x14ac:dyDescent="0.25">
      <c r="A301" s="19" t="s">
        <v>4217</v>
      </c>
      <c r="B301" s="13" t="s">
        <v>4218</v>
      </c>
      <c r="C301" s="8">
        <v>3</v>
      </c>
      <c r="D301" s="9">
        <v>51.75</v>
      </c>
      <c r="E301" s="9">
        <v>155.25</v>
      </c>
      <c r="F301" s="8">
        <v>536551</v>
      </c>
      <c r="G301" s="13"/>
      <c r="H301" s="19" t="s">
        <v>55</v>
      </c>
      <c r="I301" s="13" t="s">
        <v>11</v>
      </c>
      <c r="J301" s="13" t="s">
        <v>539</v>
      </c>
      <c r="K301" s="13" t="s">
        <v>541</v>
      </c>
      <c r="L301" s="20" t="str">
        <f>HYPERLINK("http://slimages.macys.com/is/image/MCY/19907942 ")</f>
        <v xml:space="preserve">http://slimages.macys.com/is/image/MCY/19907942 </v>
      </c>
    </row>
    <row r="302" spans="1:12" x14ac:dyDescent="0.25">
      <c r="A302" s="19" t="s">
        <v>4215</v>
      </c>
      <c r="B302" s="13" t="s">
        <v>4216</v>
      </c>
      <c r="C302" s="8">
        <v>5</v>
      </c>
      <c r="D302" s="9">
        <v>51.75</v>
      </c>
      <c r="E302" s="9">
        <v>258.75</v>
      </c>
      <c r="F302" s="8">
        <v>536551</v>
      </c>
      <c r="G302" s="13"/>
      <c r="H302" s="19" t="s">
        <v>27</v>
      </c>
      <c r="I302" s="13" t="s">
        <v>11</v>
      </c>
      <c r="J302" s="13" t="s">
        <v>539</v>
      </c>
      <c r="K302" s="13" t="s">
        <v>541</v>
      </c>
      <c r="L302" s="20" t="str">
        <f>HYPERLINK("http://slimages.macys.com/is/image/MCY/19907942 ")</f>
        <v xml:space="preserve">http://slimages.macys.com/is/image/MCY/19907942 </v>
      </c>
    </row>
    <row r="303" spans="1:12" x14ac:dyDescent="0.25">
      <c r="A303" s="19" t="s">
        <v>4072</v>
      </c>
      <c r="B303" s="13" t="s">
        <v>4073</v>
      </c>
      <c r="C303" s="8">
        <v>1</v>
      </c>
      <c r="D303" s="9">
        <v>60</v>
      </c>
      <c r="E303" s="9">
        <v>60</v>
      </c>
      <c r="F303" s="8">
        <v>8284</v>
      </c>
      <c r="G303" s="13" t="s">
        <v>124</v>
      </c>
      <c r="H303" s="19" t="s">
        <v>1166</v>
      </c>
      <c r="I303" s="13" t="s">
        <v>893</v>
      </c>
      <c r="J303" s="13" t="s">
        <v>233</v>
      </c>
      <c r="K303" s="13" t="s">
        <v>3306</v>
      </c>
      <c r="L303" s="20" t="str">
        <f>HYPERLINK("http://images.bloomingdales.com/is/image/BLM/10684267 ")</f>
        <v xml:space="preserve">http://images.bloomingdales.com/is/image/BLM/10684267 </v>
      </c>
    </row>
    <row r="304" spans="1:12" x14ac:dyDescent="0.25">
      <c r="A304" s="19" t="s">
        <v>4074</v>
      </c>
      <c r="B304" s="13" t="s">
        <v>4073</v>
      </c>
      <c r="C304" s="8">
        <v>1</v>
      </c>
      <c r="D304" s="9">
        <v>60</v>
      </c>
      <c r="E304" s="9">
        <v>60</v>
      </c>
      <c r="F304" s="8">
        <v>8284</v>
      </c>
      <c r="G304" s="13" t="s">
        <v>31</v>
      </c>
      <c r="H304" s="19" t="s">
        <v>1166</v>
      </c>
      <c r="I304" s="13" t="s">
        <v>893</v>
      </c>
      <c r="J304" s="13" t="s">
        <v>233</v>
      </c>
      <c r="K304" s="13" t="s">
        <v>3306</v>
      </c>
      <c r="L304" s="20" t="str">
        <f>HYPERLINK("http://images.bloomingdales.com/is/image/BLM/10684267 ")</f>
        <v xml:space="preserve">http://images.bloomingdales.com/is/image/BLM/10684267 </v>
      </c>
    </row>
    <row r="305" spans="1:12" x14ac:dyDescent="0.25">
      <c r="A305" s="19" t="s">
        <v>3477</v>
      </c>
      <c r="B305" s="13" t="s">
        <v>3478</v>
      </c>
      <c r="C305" s="8">
        <v>1</v>
      </c>
      <c r="D305" s="9">
        <v>28.8</v>
      </c>
      <c r="E305" s="9">
        <v>28.8</v>
      </c>
      <c r="F305" s="8" t="s">
        <v>1297</v>
      </c>
      <c r="G305" s="13" t="s">
        <v>1769</v>
      </c>
      <c r="H305" s="19" t="s">
        <v>32</v>
      </c>
      <c r="I305" s="13" t="s">
        <v>11</v>
      </c>
      <c r="J305" s="13" t="s">
        <v>343</v>
      </c>
      <c r="K305" s="13" t="s">
        <v>393</v>
      </c>
      <c r="L305" s="20" t="str">
        <f>HYPERLINK("http://slimages.macys.com/is/image/MCY/20576871 ")</f>
        <v xml:space="preserve">http://slimages.macys.com/is/image/MCY/20576871 </v>
      </c>
    </row>
    <row r="306" spans="1:12" x14ac:dyDescent="0.25">
      <c r="A306" s="19" t="s">
        <v>4223</v>
      </c>
      <c r="B306" s="13" t="s">
        <v>4224</v>
      </c>
      <c r="C306" s="8">
        <v>1</v>
      </c>
      <c r="D306" s="9">
        <v>36.75</v>
      </c>
      <c r="E306" s="9">
        <v>36.75</v>
      </c>
      <c r="F306" s="8" t="s">
        <v>554</v>
      </c>
      <c r="G306" s="13" t="s">
        <v>83</v>
      </c>
      <c r="H306" s="19" t="s">
        <v>40</v>
      </c>
      <c r="I306" s="13" t="s">
        <v>11</v>
      </c>
      <c r="J306" s="13" t="s">
        <v>539</v>
      </c>
      <c r="K306" s="13" t="s">
        <v>555</v>
      </c>
      <c r="L306" s="20" t="str">
        <f>HYPERLINK("http://slimages.macys.com/is/image/MCY/19037199 ")</f>
        <v xml:space="preserve">http://slimages.macys.com/is/image/MCY/19037199 </v>
      </c>
    </row>
    <row r="307" spans="1:12" x14ac:dyDescent="0.25">
      <c r="A307" s="19" t="s">
        <v>4221</v>
      </c>
      <c r="B307" s="13" t="s">
        <v>4222</v>
      </c>
      <c r="C307" s="8">
        <v>1</v>
      </c>
      <c r="D307" s="9">
        <v>44.99</v>
      </c>
      <c r="E307" s="9">
        <v>44.99</v>
      </c>
      <c r="F307" s="8" t="s">
        <v>1118</v>
      </c>
      <c r="G307" s="13" t="s">
        <v>83</v>
      </c>
      <c r="H307" s="19" t="s">
        <v>32</v>
      </c>
      <c r="I307" s="13" t="s">
        <v>11</v>
      </c>
      <c r="J307" s="13" t="s">
        <v>539</v>
      </c>
      <c r="K307" s="13" t="s">
        <v>555</v>
      </c>
      <c r="L307" s="20" t="str">
        <f>HYPERLINK("http://slimages.macys.com/is/image/MCY/19847040 ")</f>
        <v xml:space="preserve">http://slimages.macys.com/is/image/MCY/19847040 </v>
      </c>
    </row>
    <row r="308" spans="1:12" x14ac:dyDescent="0.25">
      <c r="A308" s="19" t="s">
        <v>4225</v>
      </c>
      <c r="B308" s="13" t="s">
        <v>4226</v>
      </c>
      <c r="C308" s="8">
        <v>1</v>
      </c>
      <c r="D308" s="9">
        <v>39.99</v>
      </c>
      <c r="E308" s="9">
        <v>39.99</v>
      </c>
      <c r="F308" s="8" t="s">
        <v>888</v>
      </c>
      <c r="G308" s="13" t="s">
        <v>83</v>
      </c>
      <c r="H308" s="19" t="s">
        <v>40</v>
      </c>
      <c r="I308" s="13" t="s">
        <v>11</v>
      </c>
      <c r="J308" s="13" t="s">
        <v>539</v>
      </c>
      <c r="K308" s="13" t="s">
        <v>555</v>
      </c>
      <c r="L308" s="20" t="str">
        <f>HYPERLINK("http://slimages.macys.com/is/image/MCY/19847120 ")</f>
        <v xml:space="preserve">http://slimages.macys.com/is/image/MCY/19847120 </v>
      </c>
    </row>
    <row r="309" spans="1:12" x14ac:dyDescent="0.25">
      <c r="A309" s="19" t="s">
        <v>886</v>
      </c>
      <c r="B309" s="13" t="s">
        <v>887</v>
      </c>
      <c r="C309" s="8">
        <v>1</v>
      </c>
      <c r="D309" s="9">
        <v>39.99</v>
      </c>
      <c r="E309" s="9">
        <v>39.99</v>
      </c>
      <c r="F309" s="8" t="s">
        <v>888</v>
      </c>
      <c r="G309" s="13" t="s">
        <v>83</v>
      </c>
      <c r="H309" s="19" t="s">
        <v>55</v>
      </c>
      <c r="I309" s="13" t="s">
        <v>11</v>
      </c>
      <c r="J309" s="13" t="s">
        <v>539</v>
      </c>
      <c r="K309" s="13" t="s">
        <v>555</v>
      </c>
      <c r="L309" s="20" t="str">
        <f>HYPERLINK("http://slimages.macys.com/is/image/MCY/19847120 ")</f>
        <v xml:space="preserve">http://slimages.macys.com/is/image/MCY/19847120 </v>
      </c>
    </row>
    <row r="310" spans="1:12" x14ac:dyDescent="0.25">
      <c r="A310" s="19" t="s">
        <v>4083</v>
      </c>
      <c r="B310" s="13" t="s">
        <v>4084</v>
      </c>
      <c r="C310" s="8">
        <v>1</v>
      </c>
      <c r="D310" s="9">
        <v>24</v>
      </c>
      <c r="E310" s="9">
        <v>24</v>
      </c>
      <c r="F310" s="8">
        <v>9157</v>
      </c>
      <c r="G310" s="13" t="s">
        <v>201</v>
      </c>
      <c r="H310" s="19" t="s">
        <v>27</v>
      </c>
      <c r="I310" s="13" t="s">
        <v>893</v>
      </c>
      <c r="J310" s="13" t="s">
        <v>233</v>
      </c>
      <c r="K310" s="13" t="s">
        <v>3306</v>
      </c>
      <c r="L310" s="20" t="str">
        <f>HYPERLINK("http://images.bloomingdales.com/is/image/BLM/10649502 ")</f>
        <v xml:space="preserve">http://images.bloomingdales.com/is/image/BLM/10649502 </v>
      </c>
    </row>
    <row r="311" spans="1:12" x14ac:dyDescent="0.25">
      <c r="A311" s="19" t="s">
        <v>4048</v>
      </c>
      <c r="B311" s="13" t="s">
        <v>4049</v>
      </c>
      <c r="C311" s="8">
        <v>1</v>
      </c>
      <c r="D311" s="9">
        <v>23</v>
      </c>
      <c r="E311" s="9">
        <v>23</v>
      </c>
      <c r="F311" s="8" t="s">
        <v>4050</v>
      </c>
      <c r="G311" s="13" t="s">
        <v>201</v>
      </c>
      <c r="H311" s="19" t="s">
        <v>184</v>
      </c>
      <c r="I311" s="13" t="s">
        <v>893</v>
      </c>
      <c r="J311" s="13" t="s">
        <v>959</v>
      </c>
      <c r="K311" s="13" t="s">
        <v>960</v>
      </c>
      <c r="L311" s="20" t="str">
        <f>HYPERLINK("http://images.bloomingdales.com/is/image/BLM/11219490 ")</f>
        <v xml:space="preserve">http://images.bloomingdales.com/is/image/BLM/11219490 </v>
      </c>
    </row>
    <row r="312" spans="1:12" x14ac:dyDescent="0.25">
      <c r="A312" s="19" t="s">
        <v>1692</v>
      </c>
      <c r="B312" s="13" t="s">
        <v>2537</v>
      </c>
      <c r="C312" s="8">
        <v>1</v>
      </c>
      <c r="D312" s="9">
        <v>33.6</v>
      </c>
      <c r="E312" s="9">
        <v>33.6</v>
      </c>
      <c r="F312" s="8" t="s">
        <v>385</v>
      </c>
      <c r="G312" s="13" t="s">
        <v>120</v>
      </c>
      <c r="H312" s="19" t="s">
        <v>27</v>
      </c>
      <c r="I312" s="13" t="s">
        <v>11</v>
      </c>
      <c r="J312" s="13" t="s">
        <v>343</v>
      </c>
      <c r="K312" s="13" t="s">
        <v>379</v>
      </c>
      <c r="L312" s="20" t="str">
        <f>HYPERLINK("http://slimages.macys.com/is/image/MCY/20186544 ")</f>
        <v xml:space="preserve">http://slimages.macys.com/is/image/MCY/20186544 </v>
      </c>
    </row>
    <row r="313" spans="1:12" x14ac:dyDescent="0.25">
      <c r="A313" s="19" t="s">
        <v>3832</v>
      </c>
      <c r="B313" s="13" t="s">
        <v>3833</v>
      </c>
      <c r="C313" s="8">
        <v>1</v>
      </c>
      <c r="D313" s="9">
        <v>27</v>
      </c>
      <c r="E313" s="9">
        <v>27</v>
      </c>
      <c r="F313" s="8" t="s">
        <v>1048</v>
      </c>
      <c r="G313" s="13" t="s">
        <v>124</v>
      </c>
      <c r="H313" s="19" t="s">
        <v>32</v>
      </c>
      <c r="I313" s="13" t="s">
        <v>11</v>
      </c>
      <c r="J313" s="13" t="s">
        <v>343</v>
      </c>
      <c r="K313" s="13" t="s">
        <v>379</v>
      </c>
      <c r="L313" s="20" t="str">
        <f>HYPERLINK("http://slimages.macys.com/is/image/MCY/19652390 ")</f>
        <v xml:space="preserve">http://slimages.macys.com/is/image/MCY/19652390 </v>
      </c>
    </row>
    <row r="314" spans="1:12" x14ac:dyDescent="0.25">
      <c r="A314" s="19" t="s">
        <v>4179</v>
      </c>
      <c r="B314" s="13" t="s">
        <v>4180</v>
      </c>
      <c r="C314" s="8">
        <v>1</v>
      </c>
      <c r="D314" s="9">
        <v>34.799999999999997</v>
      </c>
      <c r="E314" s="9">
        <v>34.799999999999997</v>
      </c>
      <c r="F314" s="8" t="s">
        <v>3406</v>
      </c>
      <c r="G314" s="13" t="s">
        <v>163</v>
      </c>
      <c r="H314" s="19" t="s">
        <v>32</v>
      </c>
      <c r="I314" s="13" t="s">
        <v>11</v>
      </c>
      <c r="J314" s="13" t="s">
        <v>343</v>
      </c>
      <c r="K314" s="13" t="s">
        <v>379</v>
      </c>
      <c r="L314" s="20" t="str">
        <f>HYPERLINK("http://slimages.macys.com/is/image/MCY/19669581 ")</f>
        <v xml:space="preserve">http://slimages.macys.com/is/image/MCY/19669581 </v>
      </c>
    </row>
    <row r="315" spans="1:12" x14ac:dyDescent="0.25">
      <c r="A315" s="19" t="s">
        <v>4188</v>
      </c>
      <c r="B315" s="13" t="s">
        <v>4189</v>
      </c>
      <c r="C315" s="8">
        <v>1</v>
      </c>
      <c r="D315" s="9">
        <v>27.6</v>
      </c>
      <c r="E315" s="9">
        <v>27.6</v>
      </c>
      <c r="F315" s="8" t="s">
        <v>774</v>
      </c>
      <c r="G315" s="13" t="s">
        <v>122</v>
      </c>
      <c r="H315" s="19" t="s">
        <v>27</v>
      </c>
      <c r="I315" s="13" t="s">
        <v>11</v>
      </c>
      <c r="J315" s="13" t="s">
        <v>343</v>
      </c>
      <c r="K315" s="13" t="s">
        <v>379</v>
      </c>
      <c r="L315" s="20" t="str">
        <f>HYPERLINK("http://slimages.macys.com/is/image/MCY/18830009 ")</f>
        <v xml:space="preserve">http://slimages.macys.com/is/image/MCY/18830009 </v>
      </c>
    </row>
    <row r="316" spans="1:12" x14ac:dyDescent="0.25">
      <c r="A316" s="19" t="s">
        <v>4186</v>
      </c>
      <c r="B316" s="13" t="s">
        <v>4187</v>
      </c>
      <c r="C316" s="8">
        <v>1</v>
      </c>
      <c r="D316" s="9">
        <v>27.6</v>
      </c>
      <c r="E316" s="9">
        <v>27.6</v>
      </c>
      <c r="F316" s="8" t="s">
        <v>402</v>
      </c>
      <c r="G316" s="13" t="s">
        <v>963</v>
      </c>
      <c r="H316" s="19" t="s">
        <v>40</v>
      </c>
      <c r="I316" s="13" t="s">
        <v>11</v>
      </c>
      <c r="J316" s="13" t="s">
        <v>343</v>
      </c>
      <c r="K316" s="13" t="s">
        <v>379</v>
      </c>
      <c r="L316" s="20" t="str">
        <f>HYPERLINK("http://slimages.macys.com/is/image/MCY/18744916 ")</f>
        <v xml:space="preserve">http://slimages.macys.com/is/image/MCY/18744916 </v>
      </c>
    </row>
    <row r="317" spans="1:12" x14ac:dyDescent="0.25">
      <c r="A317" s="19" t="s">
        <v>4172</v>
      </c>
      <c r="B317" s="13" t="s">
        <v>4173</v>
      </c>
      <c r="C317" s="8">
        <v>1</v>
      </c>
      <c r="D317" s="9">
        <v>38.4</v>
      </c>
      <c r="E317" s="9">
        <v>38.4</v>
      </c>
      <c r="F317" s="8" t="s">
        <v>1257</v>
      </c>
      <c r="G317" s="13" t="s">
        <v>44</v>
      </c>
      <c r="H317" s="19" t="s">
        <v>40</v>
      </c>
      <c r="I317" s="13" t="s">
        <v>11</v>
      </c>
      <c r="J317" s="13" t="s">
        <v>343</v>
      </c>
      <c r="K317" s="13" t="s">
        <v>379</v>
      </c>
      <c r="L317" s="20" t="str">
        <f>HYPERLINK("http://slimages.macys.com/is/image/MCY/19952821 ")</f>
        <v xml:space="preserve">http://slimages.macys.com/is/image/MCY/19952821 </v>
      </c>
    </row>
    <row r="318" spans="1:12" x14ac:dyDescent="0.25">
      <c r="A318" s="19" t="s">
        <v>1975</v>
      </c>
      <c r="B318" s="13" t="s">
        <v>1976</v>
      </c>
      <c r="C318" s="8">
        <v>1</v>
      </c>
      <c r="D318" s="9">
        <v>34.799999999999997</v>
      </c>
      <c r="E318" s="9">
        <v>34.799999999999997</v>
      </c>
      <c r="F318" s="8" t="s">
        <v>1272</v>
      </c>
      <c r="G318" s="13" t="s">
        <v>44</v>
      </c>
      <c r="H318" s="19" t="s">
        <v>27</v>
      </c>
      <c r="I318" s="13" t="s">
        <v>11</v>
      </c>
      <c r="J318" s="13" t="s">
        <v>343</v>
      </c>
      <c r="K318" s="13" t="s">
        <v>379</v>
      </c>
      <c r="L318" s="20" t="str">
        <f>HYPERLINK("http://slimages.macys.com/is/image/MCY/20291358 ")</f>
        <v xml:space="preserve">http://slimages.macys.com/is/image/MCY/20291358 </v>
      </c>
    </row>
    <row r="319" spans="1:12" x14ac:dyDescent="0.25">
      <c r="A319" s="19" t="s">
        <v>4227</v>
      </c>
      <c r="B319" s="13" t="s">
        <v>4228</v>
      </c>
      <c r="C319" s="8">
        <v>1</v>
      </c>
      <c r="D319" s="9">
        <v>52</v>
      </c>
      <c r="E319" s="9">
        <v>52</v>
      </c>
      <c r="F319" s="8" t="s">
        <v>3826</v>
      </c>
      <c r="G319" s="13" t="s">
        <v>26</v>
      </c>
      <c r="H319" s="19" t="s">
        <v>32</v>
      </c>
      <c r="I319" s="13" t="s">
        <v>11</v>
      </c>
      <c r="J319" s="13" t="s">
        <v>539</v>
      </c>
      <c r="K319" s="13" t="s">
        <v>1119</v>
      </c>
      <c r="L319" s="20" t="str">
        <f>HYPERLINK("http://slimages.macys.com/is/image/MCY/18782321 ")</f>
        <v xml:space="preserve">http://slimages.macys.com/is/image/MCY/18782321 </v>
      </c>
    </row>
    <row r="320" spans="1:12" x14ac:dyDescent="0.25">
      <c r="A320" s="19" t="s">
        <v>4081</v>
      </c>
      <c r="B320" s="13" t="s">
        <v>4082</v>
      </c>
      <c r="C320" s="8">
        <v>1</v>
      </c>
      <c r="D320" s="9">
        <v>28</v>
      </c>
      <c r="E320" s="9">
        <v>28</v>
      </c>
      <c r="F320" s="8">
        <v>3232</v>
      </c>
      <c r="G320" s="13" t="s">
        <v>31</v>
      </c>
      <c r="H320" s="19" t="s">
        <v>32</v>
      </c>
      <c r="I320" s="13" t="s">
        <v>893</v>
      </c>
      <c r="J320" s="13" t="s">
        <v>233</v>
      </c>
      <c r="K320" s="13" t="s">
        <v>3306</v>
      </c>
      <c r="L320" s="20" t="str">
        <f>HYPERLINK("http://images.bloomingdales.com/is/image/BLM/11830578 ")</f>
        <v xml:space="preserve">http://images.bloomingdales.com/is/image/BLM/11830578 </v>
      </c>
    </row>
    <row r="321" spans="1:12" x14ac:dyDescent="0.25">
      <c r="A321" s="19" t="s">
        <v>4066</v>
      </c>
      <c r="B321" s="13" t="s">
        <v>4067</v>
      </c>
      <c r="C321" s="8">
        <v>1</v>
      </c>
      <c r="D321" s="9">
        <v>64</v>
      </c>
      <c r="E321" s="9">
        <v>64</v>
      </c>
      <c r="F321" s="8">
        <v>9132</v>
      </c>
      <c r="G321" s="13" t="s">
        <v>31</v>
      </c>
      <c r="H321" s="19" t="s">
        <v>223</v>
      </c>
      <c r="I321" s="13" t="s">
        <v>893</v>
      </c>
      <c r="J321" s="13" t="s">
        <v>233</v>
      </c>
      <c r="K321" s="13" t="s">
        <v>3306</v>
      </c>
      <c r="L321" s="20" t="str">
        <f>HYPERLINK("http://images.bloomingdales.com/is/image/BLM/11827051 ")</f>
        <v xml:space="preserve">http://images.bloomingdales.com/is/image/BLM/11827051 </v>
      </c>
    </row>
    <row r="322" spans="1:12" x14ac:dyDescent="0.25">
      <c r="A322" s="19" t="s">
        <v>4060</v>
      </c>
      <c r="B322" s="13" t="s">
        <v>4061</v>
      </c>
      <c r="C322" s="8">
        <v>1</v>
      </c>
      <c r="D322" s="9">
        <v>114</v>
      </c>
      <c r="E322" s="9">
        <v>114</v>
      </c>
      <c r="F322" s="8">
        <v>72837</v>
      </c>
      <c r="G322" s="13" t="s">
        <v>31</v>
      </c>
      <c r="H322" s="19" t="s">
        <v>147</v>
      </c>
      <c r="I322" s="13" t="s">
        <v>893</v>
      </c>
      <c r="J322" s="13" t="s">
        <v>233</v>
      </c>
      <c r="K322" s="13" t="s">
        <v>962</v>
      </c>
      <c r="L322" s="20" t="str">
        <f>HYPERLINK("http://images.bloomingdales.com/is/image/BLM/11612763 ")</f>
        <v xml:space="preserve">http://images.bloomingdales.com/is/image/BLM/11612763 </v>
      </c>
    </row>
    <row r="323" spans="1:12" x14ac:dyDescent="0.25">
      <c r="A323" s="19" t="s">
        <v>4062</v>
      </c>
      <c r="B323" s="13" t="s">
        <v>4061</v>
      </c>
      <c r="C323" s="8">
        <v>1</v>
      </c>
      <c r="D323" s="9">
        <v>114</v>
      </c>
      <c r="E323" s="9">
        <v>114</v>
      </c>
      <c r="F323" s="8">
        <v>72837</v>
      </c>
      <c r="G323" s="13" t="s">
        <v>31</v>
      </c>
      <c r="H323" s="19" t="s">
        <v>678</v>
      </c>
      <c r="I323" s="13" t="s">
        <v>893</v>
      </c>
      <c r="J323" s="13" t="s">
        <v>233</v>
      </c>
      <c r="K323" s="13" t="s">
        <v>962</v>
      </c>
      <c r="L323" s="20" t="str">
        <f>HYPERLINK("http://images.bloomingdales.com/is/image/BLM/11612763 ")</f>
        <v xml:space="preserve">http://images.bloomingdales.com/is/image/BLM/11612763 </v>
      </c>
    </row>
    <row r="324" spans="1:12" x14ac:dyDescent="0.25">
      <c r="A324" s="19" t="s">
        <v>4000</v>
      </c>
      <c r="B324" s="13" t="s">
        <v>4001</v>
      </c>
      <c r="C324" s="8">
        <v>1</v>
      </c>
      <c r="D324" s="9">
        <v>33</v>
      </c>
      <c r="E324" s="9">
        <v>33</v>
      </c>
      <c r="F324" s="8">
        <v>71500</v>
      </c>
      <c r="G324" s="13" t="s">
        <v>696</v>
      </c>
      <c r="H324" s="19" t="s">
        <v>121</v>
      </c>
      <c r="I324" s="13" t="s">
        <v>11</v>
      </c>
      <c r="J324" s="13" t="s">
        <v>109</v>
      </c>
      <c r="K324" s="13" t="s">
        <v>128</v>
      </c>
      <c r="L324" s="20" t="str">
        <f>HYPERLINK("http://slimages.macys.com/is/image/MCY/3951194 ")</f>
        <v xml:space="preserve">http://slimages.macys.com/is/image/MCY/3951194 </v>
      </c>
    </row>
    <row r="325" spans="1:12" x14ac:dyDescent="0.25">
      <c r="A325" s="19" t="s">
        <v>3998</v>
      </c>
      <c r="B325" s="13" t="s">
        <v>3999</v>
      </c>
      <c r="C325" s="8">
        <v>1</v>
      </c>
      <c r="D325" s="9">
        <v>33</v>
      </c>
      <c r="E325" s="9">
        <v>33</v>
      </c>
      <c r="F325" s="8">
        <v>71500</v>
      </c>
      <c r="G325" s="13" t="s">
        <v>31</v>
      </c>
      <c r="H325" s="19" t="s">
        <v>126</v>
      </c>
      <c r="I325" s="13" t="s">
        <v>11</v>
      </c>
      <c r="J325" s="13" t="s">
        <v>109</v>
      </c>
      <c r="K325" s="13" t="s">
        <v>128</v>
      </c>
      <c r="L325" s="20" t="str">
        <f>HYPERLINK("http://slimages.macys.com/is/image/MCY/3951194 ")</f>
        <v xml:space="preserve">http://slimages.macys.com/is/image/MCY/3951194 </v>
      </c>
    </row>
    <row r="326" spans="1:12" x14ac:dyDescent="0.25">
      <c r="A326" s="19" t="s">
        <v>4075</v>
      </c>
      <c r="B326" s="13" t="s">
        <v>4076</v>
      </c>
      <c r="C326" s="8">
        <v>1</v>
      </c>
      <c r="D326" s="9">
        <v>48</v>
      </c>
      <c r="E326" s="9">
        <v>48</v>
      </c>
      <c r="F326" s="8">
        <v>65124</v>
      </c>
      <c r="G326" s="13" t="s">
        <v>31</v>
      </c>
      <c r="H326" s="19" t="s">
        <v>724</v>
      </c>
      <c r="I326" s="13" t="s">
        <v>11</v>
      </c>
      <c r="J326" s="13" t="s">
        <v>233</v>
      </c>
      <c r="K326" s="13" t="s">
        <v>234</v>
      </c>
      <c r="L326" s="20" t="str">
        <f>HYPERLINK("http://slimages.macys.com/is/image/MCY/3624946 ")</f>
        <v xml:space="preserve">http://slimages.macys.com/is/image/MCY/3624946 </v>
      </c>
    </row>
    <row r="327" spans="1:12" x14ac:dyDescent="0.25">
      <c r="A327" s="19" t="s">
        <v>4068</v>
      </c>
      <c r="B327" s="13" t="s">
        <v>4069</v>
      </c>
      <c r="C327" s="8">
        <v>1</v>
      </c>
      <c r="D327" s="9">
        <v>60</v>
      </c>
      <c r="E327" s="9">
        <v>60</v>
      </c>
      <c r="F327" s="8">
        <v>85185</v>
      </c>
      <c r="G327" s="13" t="s">
        <v>127</v>
      </c>
      <c r="H327" s="19" t="s">
        <v>235</v>
      </c>
      <c r="I327" s="13" t="s">
        <v>11</v>
      </c>
      <c r="J327" s="13" t="s">
        <v>233</v>
      </c>
      <c r="K327" s="13" t="s">
        <v>234</v>
      </c>
      <c r="L327" s="20" t="str">
        <f>HYPERLINK("http://slimages.macys.com/is/image/MCY/3660439 ")</f>
        <v xml:space="preserve">http://slimages.macys.com/is/image/MCY/3660439 </v>
      </c>
    </row>
    <row r="328" spans="1:12" x14ac:dyDescent="0.25">
      <c r="A328" s="19" t="s">
        <v>4070</v>
      </c>
      <c r="B328" s="13" t="s">
        <v>4071</v>
      </c>
      <c r="C328" s="8">
        <v>1</v>
      </c>
      <c r="D328" s="9">
        <v>26.11</v>
      </c>
      <c r="E328" s="9">
        <v>26.11</v>
      </c>
      <c r="F328" s="8">
        <v>85185</v>
      </c>
      <c r="G328" s="13" t="s">
        <v>58</v>
      </c>
      <c r="H328" s="19" t="s">
        <v>3338</v>
      </c>
      <c r="I328" s="13" t="s">
        <v>11</v>
      </c>
      <c r="J328" s="13" t="s">
        <v>233</v>
      </c>
      <c r="K328" s="13" t="s">
        <v>234</v>
      </c>
      <c r="L328" s="20" t="str">
        <f>HYPERLINK("http://slimages.macys.com/is/image/MCY/3660439 ")</f>
        <v xml:space="preserve">http://slimages.macys.com/is/image/MCY/3660439 </v>
      </c>
    </row>
    <row r="329" spans="1:12" x14ac:dyDescent="0.25">
      <c r="A329" s="19" t="s">
        <v>3643</v>
      </c>
      <c r="B329" s="13" t="s">
        <v>3644</v>
      </c>
      <c r="C329" s="8">
        <v>4</v>
      </c>
      <c r="D329" s="9">
        <v>8.9600000000000009</v>
      </c>
      <c r="E329" s="9">
        <v>35.840000000000003</v>
      </c>
      <c r="F329" s="8" t="s">
        <v>3645</v>
      </c>
      <c r="G329" s="13" t="s">
        <v>3320</v>
      </c>
      <c r="H329" s="19" t="s">
        <v>3321</v>
      </c>
      <c r="I329" s="13" t="s">
        <v>11</v>
      </c>
      <c r="J329" s="13" t="s">
        <v>130</v>
      </c>
      <c r="K329" s="13" t="s">
        <v>3322</v>
      </c>
      <c r="L329" s="20"/>
    </row>
    <row r="330" spans="1:12" x14ac:dyDescent="0.25">
      <c r="A330" s="19" t="s">
        <v>3317</v>
      </c>
      <c r="B330" s="13" t="s">
        <v>3318</v>
      </c>
      <c r="C330" s="8">
        <v>1</v>
      </c>
      <c r="D330" s="9">
        <v>5.96</v>
      </c>
      <c r="E330" s="9">
        <v>5.96</v>
      </c>
      <c r="F330" s="8" t="s">
        <v>3319</v>
      </c>
      <c r="G330" s="13" t="s">
        <v>3320</v>
      </c>
      <c r="H330" s="19" t="s">
        <v>3321</v>
      </c>
      <c r="I330" s="13" t="s">
        <v>11</v>
      </c>
      <c r="J330" s="13" t="s">
        <v>130</v>
      </c>
      <c r="K330" s="13" t="s">
        <v>3322</v>
      </c>
      <c r="L330" s="20"/>
    </row>
  </sheetData>
  <sortState ref="A2:L330">
    <sortCondition ref="B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9"/>
  <sheetViews>
    <sheetView workbookViewId="0">
      <selection activeCell="E21" sqref="E21"/>
    </sheetView>
  </sheetViews>
  <sheetFormatPr defaultColWidth="93.28515625" defaultRowHeight="15" x14ac:dyDescent="0.25"/>
  <cols>
    <col min="1" max="1" width="13.140625" style="12" bestFit="1" customWidth="1"/>
    <col min="2" max="2" width="67.140625" style="12" bestFit="1" customWidth="1"/>
    <col min="3" max="3" width="12.42578125" style="12" bestFit="1" customWidth="1"/>
    <col min="4" max="4" width="15" style="12" bestFit="1" customWidth="1"/>
    <col min="5" max="5" width="21" style="12" bestFit="1" customWidth="1"/>
    <col min="6" max="6" width="21.7109375" style="12" bestFit="1" customWidth="1"/>
    <col min="7" max="7" width="12.42578125" style="12" bestFit="1" customWidth="1"/>
    <col min="8" max="8" width="10.85546875" style="12" bestFit="1" customWidth="1"/>
    <col min="9" max="9" width="8.140625" style="12" bestFit="1" customWidth="1"/>
    <col min="10" max="10" width="17.5703125" style="12" bestFit="1" customWidth="1"/>
    <col min="11" max="11" width="39.5703125" style="12" bestFit="1" customWidth="1"/>
    <col min="12" max="12" width="17.7109375" style="12" bestFit="1" customWidth="1"/>
    <col min="13" max="13" width="58.28515625" style="12" bestFit="1" customWidth="1"/>
    <col min="14" max="14" width="48.140625" style="12" bestFit="1" customWidth="1"/>
    <col min="15" max="16384" width="93.28515625" style="12"/>
  </cols>
  <sheetData>
    <row r="1" spans="1:14" x14ac:dyDescent="0.25">
      <c r="A1" s="15" t="s">
        <v>12</v>
      </c>
      <c r="B1" s="15" t="s">
        <v>13</v>
      </c>
      <c r="C1" s="15" t="s">
        <v>14</v>
      </c>
      <c r="D1" s="15" t="s">
        <v>5</v>
      </c>
      <c r="E1" s="15" t="s">
        <v>9</v>
      </c>
      <c r="F1" s="15" t="s">
        <v>15</v>
      </c>
      <c r="G1" s="15" t="s">
        <v>16</v>
      </c>
      <c r="H1" s="15" t="s">
        <v>17</v>
      </c>
      <c r="I1" s="15" t="s">
        <v>10</v>
      </c>
      <c r="J1" s="15" t="s">
        <v>18</v>
      </c>
      <c r="K1" s="15" t="s">
        <v>19</v>
      </c>
      <c r="L1" s="15" t="s">
        <v>20</v>
      </c>
      <c r="M1" s="15" t="s">
        <v>21</v>
      </c>
      <c r="N1" s="15" t="s">
        <v>22</v>
      </c>
    </row>
    <row r="2" spans="1:14" x14ac:dyDescent="0.25">
      <c r="A2" s="21" t="s">
        <v>4231</v>
      </c>
      <c r="B2" s="16" t="s">
        <v>4232</v>
      </c>
      <c r="C2" s="17">
        <v>1</v>
      </c>
      <c r="D2" s="22">
        <v>44.99</v>
      </c>
      <c r="E2" s="22">
        <v>44.99</v>
      </c>
      <c r="F2" s="17" t="s">
        <v>25</v>
      </c>
      <c r="G2" s="16" t="s">
        <v>26</v>
      </c>
      <c r="H2" s="21" t="s">
        <v>32</v>
      </c>
      <c r="I2" s="16" t="s">
        <v>11</v>
      </c>
      <c r="J2" s="16" t="s">
        <v>28</v>
      </c>
      <c r="K2" s="16" t="s">
        <v>29</v>
      </c>
      <c r="L2" s="16"/>
      <c r="M2" s="16"/>
      <c r="N2" s="23" t="str">
        <f>HYPERLINK("http://slimages.macys.com/is/image/MCY/19287412 ")</f>
        <v xml:space="preserve">http://slimages.macys.com/is/image/MCY/19287412 </v>
      </c>
    </row>
    <row r="3" spans="1:14" x14ac:dyDescent="0.25">
      <c r="A3" s="21" t="s">
        <v>4233</v>
      </c>
      <c r="B3" s="16" t="s">
        <v>4234</v>
      </c>
      <c r="C3" s="17">
        <v>1</v>
      </c>
      <c r="D3" s="22">
        <v>44.99</v>
      </c>
      <c r="E3" s="22">
        <v>44.99</v>
      </c>
      <c r="F3" s="17" t="s">
        <v>30</v>
      </c>
      <c r="G3" s="16" t="s">
        <v>62</v>
      </c>
      <c r="H3" s="21" t="s">
        <v>32</v>
      </c>
      <c r="I3" s="16" t="s">
        <v>11</v>
      </c>
      <c r="J3" s="16" t="s">
        <v>28</v>
      </c>
      <c r="K3" s="16" t="s">
        <v>29</v>
      </c>
      <c r="L3" s="16"/>
      <c r="M3" s="16"/>
      <c r="N3" s="23" t="str">
        <f>HYPERLINK("http://slimages.macys.com/is/image/MCY/19661942 ")</f>
        <v xml:space="preserve">http://slimages.macys.com/is/image/MCY/19661942 </v>
      </c>
    </row>
    <row r="4" spans="1:14" x14ac:dyDescent="0.25">
      <c r="A4" s="21" t="s">
        <v>2057</v>
      </c>
      <c r="B4" s="16" t="s">
        <v>2058</v>
      </c>
      <c r="C4" s="17">
        <v>1</v>
      </c>
      <c r="D4" s="22">
        <v>34.99</v>
      </c>
      <c r="E4" s="22">
        <v>34.99</v>
      </c>
      <c r="F4" s="17" t="s">
        <v>52</v>
      </c>
      <c r="G4" s="16" t="s">
        <v>31</v>
      </c>
      <c r="H4" s="21" t="s">
        <v>40</v>
      </c>
      <c r="I4" s="16" t="s">
        <v>11</v>
      </c>
      <c r="J4" s="16" t="s">
        <v>28</v>
      </c>
      <c r="K4" s="16" t="s">
        <v>29</v>
      </c>
      <c r="L4" s="16"/>
      <c r="M4" s="16"/>
      <c r="N4" s="23" t="str">
        <f>HYPERLINK("http://slimages.macys.com/is/image/MCY/18574724 ")</f>
        <v xml:space="preserve">http://slimages.macys.com/is/image/MCY/18574724 </v>
      </c>
    </row>
    <row r="5" spans="1:14" x14ac:dyDescent="0.25">
      <c r="A5" s="21" t="s">
        <v>1714</v>
      </c>
      <c r="B5" s="16" t="s">
        <v>1715</v>
      </c>
      <c r="C5" s="17">
        <v>1</v>
      </c>
      <c r="D5" s="22">
        <v>34.99</v>
      </c>
      <c r="E5" s="22">
        <v>34.99</v>
      </c>
      <c r="F5" s="17" t="s">
        <v>52</v>
      </c>
      <c r="G5" s="16" t="s">
        <v>31</v>
      </c>
      <c r="H5" s="21" t="s">
        <v>32</v>
      </c>
      <c r="I5" s="16" t="s">
        <v>11</v>
      </c>
      <c r="J5" s="16" t="s">
        <v>28</v>
      </c>
      <c r="K5" s="16" t="s">
        <v>29</v>
      </c>
      <c r="L5" s="16"/>
      <c r="M5" s="16"/>
      <c r="N5" s="23" t="str">
        <f>HYPERLINK("http://slimages.macys.com/is/image/MCY/18574724 ")</f>
        <v xml:space="preserve">http://slimages.macys.com/is/image/MCY/18574724 </v>
      </c>
    </row>
    <row r="6" spans="1:14" x14ac:dyDescent="0.25">
      <c r="A6" s="21" t="s">
        <v>4235</v>
      </c>
      <c r="B6" s="16" t="s">
        <v>4236</v>
      </c>
      <c r="C6" s="17">
        <v>1</v>
      </c>
      <c r="D6" s="22">
        <v>39.99</v>
      </c>
      <c r="E6" s="22">
        <v>39.99</v>
      </c>
      <c r="F6" s="17" t="s">
        <v>3827</v>
      </c>
      <c r="G6" s="16" t="s">
        <v>62</v>
      </c>
      <c r="H6" s="21" t="s">
        <v>55</v>
      </c>
      <c r="I6" s="16" t="s">
        <v>11</v>
      </c>
      <c r="J6" s="16" t="s">
        <v>28</v>
      </c>
      <c r="K6" s="16" t="s">
        <v>29</v>
      </c>
      <c r="L6" s="16"/>
      <c r="M6" s="16"/>
      <c r="N6" s="23" t="str">
        <f>HYPERLINK("http://slimages.macys.com/is/image/MCY/17589945 ")</f>
        <v xml:space="preserve">http://slimages.macys.com/is/image/MCY/17589945 </v>
      </c>
    </row>
    <row r="7" spans="1:14" x14ac:dyDescent="0.25">
      <c r="A7" s="21" t="s">
        <v>1718</v>
      </c>
      <c r="B7" s="16" t="s">
        <v>1719</v>
      </c>
      <c r="C7" s="17">
        <v>1</v>
      </c>
      <c r="D7" s="22">
        <v>25.99</v>
      </c>
      <c r="E7" s="22">
        <v>25.99</v>
      </c>
      <c r="F7" s="17" t="s">
        <v>71</v>
      </c>
      <c r="G7" s="16" t="s">
        <v>76</v>
      </c>
      <c r="H7" s="21" t="s">
        <v>40</v>
      </c>
      <c r="I7" s="16" t="s">
        <v>11</v>
      </c>
      <c r="J7" s="16" t="s">
        <v>28</v>
      </c>
      <c r="K7" s="16" t="s">
        <v>29</v>
      </c>
      <c r="L7" s="16"/>
      <c r="M7" s="16"/>
      <c r="N7" s="23" t="str">
        <f>HYPERLINK("http://slimages.macys.com/is/image/MCY/18574734 ")</f>
        <v xml:space="preserve">http://slimages.macys.com/is/image/MCY/18574734 </v>
      </c>
    </row>
    <row r="8" spans="1:14" x14ac:dyDescent="0.25">
      <c r="A8" s="21" t="s">
        <v>1133</v>
      </c>
      <c r="B8" s="16" t="s">
        <v>1134</v>
      </c>
      <c r="C8" s="17">
        <v>1</v>
      </c>
      <c r="D8" s="22">
        <v>39.99</v>
      </c>
      <c r="E8" s="22">
        <v>39.99</v>
      </c>
      <c r="F8" s="17" t="s">
        <v>576</v>
      </c>
      <c r="G8" s="16" t="s">
        <v>31</v>
      </c>
      <c r="H8" s="21" t="s">
        <v>32</v>
      </c>
      <c r="I8" s="16" t="s">
        <v>11</v>
      </c>
      <c r="J8" s="16" t="s">
        <v>28</v>
      </c>
      <c r="K8" s="16" t="s">
        <v>29</v>
      </c>
      <c r="L8" s="16"/>
      <c r="M8" s="16"/>
      <c r="N8" s="23" t="str">
        <f>HYPERLINK("http://slimages.macys.com/is/image/MCY/20051109 ")</f>
        <v xml:space="preserve">http://slimages.macys.com/is/image/MCY/20051109 </v>
      </c>
    </row>
    <row r="9" spans="1:14" x14ac:dyDescent="0.25">
      <c r="A9" s="21" t="s">
        <v>4237</v>
      </c>
      <c r="B9" s="16" t="s">
        <v>4238</v>
      </c>
      <c r="C9" s="17">
        <v>1</v>
      </c>
      <c r="D9" s="22">
        <v>26.11</v>
      </c>
      <c r="E9" s="22">
        <v>26.11</v>
      </c>
      <c r="F9" s="17" t="s">
        <v>3941</v>
      </c>
      <c r="G9" s="16" t="s">
        <v>107</v>
      </c>
      <c r="H9" s="21" t="s">
        <v>40</v>
      </c>
      <c r="I9" s="16" t="s">
        <v>11</v>
      </c>
      <c r="J9" s="16" t="s">
        <v>28</v>
      </c>
      <c r="K9" s="16" t="s">
        <v>29</v>
      </c>
      <c r="L9" s="16"/>
      <c r="M9" s="16"/>
      <c r="N9" s="23" t="str">
        <f>HYPERLINK("http://slimages.macys.com/is/image/MCY/21126168 ")</f>
        <v xml:space="preserve">http://slimages.macys.com/is/image/MCY/21126168 </v>
      </c>
    </row>
    <row r="10" spans="1:14" x14ac:dyDescent="0.25">
      <c r="A10" s="21" t="s">
        <v>911</v>
      </c>
      <c r="B10" s="16" t="s">
        <v>912</v>
      </c>
      <c r="C10" s="17">
        <v>1</v>
      </c>
      <c r="D10" s="22">
        <v>34.99</v>
      </c>
      <c r="E10" s="22">
        <v>34.99</v>
      </c>
      <c r="F10" s="17" t="s">
        <v>98</v>
      </c>
      <c r="G10" s="16" t="s">
        <v>120</v>
      </c>
      <c r="H10" s="21" t="s">
        <v>87</v>
      </c>
      <c r="I10" s="16" t="s">
        <v>11</v>
      </c>
      <c r="J10" s="16" t="s">
        <v>28</v>
      </c>
      <c r="K10" s="16" t="s">
        <v>29</v>
      </c>
      <c r="L10" s="16"/>
      <c r="M10" s="16"/>
      <c r="N10" s="23" t="str">
        <f>HYPERLINK("http://slimages.macys.com/is/image/MCY/19339149 ")</f>
        <v xml:space="preserve">http://slimages.macys.com/is/image/MCY/19339149 </v>
      </c>
    </row>
    <row r="11" spans="1:14" x14ac:dyDescent="0.25">
      <c r="A11" s="21" t="s">
        <v>3944</v>
      </c>
      <c r="B11" s="16" t="s">
        <v>3945</v>
      </c>
      <c r="C11" s="17">
        <v>1</v>
      </c>
      <c r="D11" s="22">
        <v>36.99</v>
      </c>
      <c r="E11" s="22">
        <v>36.99</v>
      </c>
      <c r="F11" s="17" t="s">
        <v>3838</v>
      </c>
      <c r="G11" s="16" t="s">
        <v>86</v>
      </c>
      <c r="H11" s="21" t="s">
        <v>87</v>
      </c>
      <c r="I11" s="16" t="s">
        <v>11</v>
      </c>
      <c r="J11" s="16" t="s">
        <v>28</v>
      </c>
      <c r="K11" s="16" t="s">
        <v>29</v>
      </c>
      <c r="L11" s="16"/>
      <c r="M11" s="16"/>
      <c r="N11" s="23" t="str">
        <f>HYPERLINK("http://slimages.macys.com/is/image/MCY/20849785 ")</f>
        <v xml:space="preserve">http://slimages.macys.com/is/image/MCY/20849785 </v>
      </c>
    </row>
    <row r="12" spans="1:14" x14ac:dyDescent="0.25">
      <c r="A12" s="21" t="s">
        <v>3697</v>
      </c>
      <c r="B12" s="16" t="s">
        <v>3698</v>
      </c>
      <c r="C12" s="17">
        <v>1</v>
      </c>
      <c r="D12" s="22">
        <v>36.99</v>
      </c>
      <c r="E12" s="22">
        <v>36.99</v>
      </c>
      <c r="F12" s="17" t="s">
        <v>3699</v>
      </c>
      <c r="G12" s="16" t="s">
        <v>31</v>
      </c>
      <c r="H12" s="21" t="s">
        <v>87</v>
      </c>
      <c r="I12" s="16" t="s">
        <v>11</v>
      </c>
      <c r="J12" s="16" t="s">
        <v>28</v>
      </c>
      <c r="K12" s="16" t="s">
        <v>29</v>
      </c>
      <c r="L12" s="16"/>
      <c r="M12" s="16"/>
      <c r="N12" s="23" t="str">
        <f>HYPERLINK("http://slimages.macys.com/is/image/MCY/20383413 ")</f>
        <v xml:space="preserve">http://slimages.macys.com/is/image/MCY/20383413 </v>
      </c>
    </row>
    <row r="13" spans="1:14" x14ac:dyDescent="0.25">
      <c r="A13" s="21" t="s">
        <v>3886</v>
      </c>
      <c r="B13" s="16" t="s">
        <v>3887</v>
      </c>
      <c r="C13" s="17">
        <v>1</v>
      </c>
      <c r="D13" s="22">
        <v>36.99</v>
      </c>
      <c r="E13" s="22">
        <v>36.99</v>
      </c>
      <c r="F13" s="17" t="s">
        <v>3699</v>
      </c>
      <c r="G13" s="16" t="s">
        <v>31</v>
      </c>
      <c r="H13" s="21" t="s">
        <v>32</v>
      </c>
      <c r="I13" s="16" t="s">
        <v>11</v>
      </c>
      <c r="J13" s="16" t="s">
        <v>28</v>
      </c>
      <c r="K13" s="16" t="s">
        <v>29</v>
      </c>
      <c r="L13" s="16"/>
      <c r="M13" s="16"/>
      <c r="N13" s="23" t="str">
        <f>HYPERLINK("http://slimages.macys.com/is/image/MCY/20383417 ")</f>
        <v xml:space="preserve">http://slimages.macys.com/is/image/MCY/20383417 </v>
      </c>
    </row>
    <row r="14" spans="1:14" x14ac:dyDescent="0.25">
      <c r="A14" s="21" t="s">
        <v>3888</v>
      </c>
      <c r="B14" s="16" t="s">
        <v>3889</v>
      </c>
      <c r="C14" s="17">
        <v>1</v>
      </c>
      <c r="D14" s="22">
        <v>32.99</v>
      </c>
      <c r="E14" s="22">
        <v>32.99</v>
      </c>
      <c r="F14" s="17" t="s">
        <v>1867</v>
      </c>
      <c r="G14" s="16" t="s">
        <v>85</v>
      </c>
      <c r="H14" s="21" t="s">
        <v>32</v>
      </c>
      <c r="I14" s="16" t="s">
        <v>11</v>
      </c>
      <c r="J14" s="16" t="s">
        <v>28</v>
      </c>
      <c r="K14" s="16" t="s">
        <v>29</v>
      </c>
      <c r="L14" s="16"/>
      <c r="M14" s="16"/>
      <c r="N14" s="23" t="str">
        <f>HYPERLINK("http://slimages.macys.com/is/image/MCY/19788671 ")</f>
        <v xml:space="preserve">http://slimages.macys.com/is/image/MCY/19788671 </v>
      </c>
    </row>
    <row r="15" spans="1:14" x14ac:dyDescent="0.25">
      <c r="A15" s="21" t="s">
        <v>3955</v>
      </c>
      <c r="B15" s="16" t="s">
        <v>3956</v>
      </c>
      <c r="C15" s="17">
        <v>1</v>
      </c>
      <c r="D15" s="22">
        <v>32.99</v>
      </c>
      <c r="E15" s="22">
        <v>32.99</v>
      </c>
      <c r="F15" s="17" t="s">
        <v>1867</v>
      </c>
      <c r="G15" s="16" t="s">
        <v>85</v>
      </c>
      <c r="H15" s="21" t="s">
        <v>27</v>
      </c>
      <c r="I15" s="16" t="s">
        <v>11</v>
      </c>
      <c r="J15" s="16" t="s">
        <v>28</v>
      </c>
      <c r="K15" s="16" t="s">
        <v>29</v>
      </c>
      <c r="L15" s="16"/>
      <c r="M15" s="16"/>
      <c r="N15" s="23" t="str">
        <f>HYPERLINK("http://slimages.macys.com/is/image/MCY/19788674 ")</f>
        <v xml:space="preserve">http://slimages.macys.com/is/image/MCY/19788674 </v>
      </c>
    </row>
    <row r="16" spans="1:14" x14ac:dyDescent="0.25">
      <c r="A16" s="21" t="s">
        <v>3766</v>
      </c>
      <c r="B16" s="16" t="s">
        <v>3767</v>
      </c>
      <c r="C16" s="17">
        <v>1</v>
      </c>
      <c r="D16" s="22">
        <v>32.99</v>
      </c>
      <c r="E16" s="22">
        <v>32.99</v>
      </c>
      <c r="F16" s="17" t="s">
        <v>3559</v>
      </c>
      <c r="G16" s="16" t="s">
        <v>85</v>
      </c>
      <c r="H16" s="21" t="s">
        <v>47</v>
      </c>
      <c r="I16" s="16" t="s">
        <v>11</v>
      </c>
      <c r="J16" s="16" t="s">
        <v>28</v>
      </c>
      <c r="K16" s="16" t="s">
        <v>29</v>
      </c>
      <c r="L16" s="16"/>
      <c r="M16" s="16"/>
      <c r="N16" s="23" t="str">
        <f>HYPERLINK("http://slimages.macys.com/is/image/MCY/20342514 ")</f>
        <v xml:space="preserve">http://slimages.macys.com/is/image/MCY/20342514 </v>
      </c>
    </row>
    <row r="17" spans="1:14" x14ac:dyDescent="0.25">
      <c r="A17" s="21" t="s">
        <v>3557</v>
      </c>
      <c r="B17" s="16" t="s">
        <v>3558</v>
      </c>
      <c r="C17" s="17">
        <v>1</v>
      </c>
      <c r="D17" s="22">
        <v>32.99</v>
      </c>
      <c r="E17" s="22">
        <v>32.99</v>
      </c>
      <c r="F17" s="17" t="s">
        <v>3559</v>
      </c>
      <c r="G17" s="16" t="s">
        <v>85</v>
      </c>
      <c r="H17" s="21" t="s">
        <v>87</v>
      </c>
      <c r="I17" s="16" t="s">
        <v>11</v>
      </c>
      <c r="J17" s="16" t="s">
        <v>28</v>
      </c>
      <c r="K17" s="16" t="s">
        <v>29</v>
      </c>
      <c r="L17" s="16"/>
      <c r="M17" s="16"/>
      <c r="N17" s="23" t="str">
        <f>HYPERLINK("http://slimages.macys.com/is/image/MCY/1114239 ")</f>
        <v xml:space="preserve">http://slimages.macys.com/is/image/MCY/1114239 </v>
      </c>
    </row>
    <row r="18" spans="1:14" x14ac:dyDescent="0.25">
      <c r="A18" s="21" t="s">
        <v>3706</v>
      </c>
      <c r="B18" s="16" t="s">
        <v>3707</v>
      </c>
      <c r="C18" s="17">
        <v>1</v>
      </c>
      <c r="D18" s="22">
        <v>32.99</v>
      </c>
      <c r="E18" s="22">
        <v>32.99</v>
      </c>
      <c r="F18" s="17" t="s">
        <v>3559</v>
      </c>
      <c r="G18" s="16" t="s">
        <v>85</v>
      </c>
      <c r="H18" s="21" t="s">
        <v>55</v>
      </c>
      <c r="I18" s="16" t="s">
        <v>11</v>
      </c>
      <c r="J18" s="16" t="s">
        <v>28</v>
      </c>
      <c r="K18" s="16" t="s">
        <v>29</v>
      </c>
      <c r="L18" s="16"/>
      <c r="M18" s="16"/>
      <c r="N18" s="23" t="str">
        <f>HYPERLINK("http://slimages.macys.com/is/image/MCY/20342514 ")</f>
        <v xml:space="preserve">http://slimages.macys.com/is/image/MCY/20342514 </v>
      </c>
    </row>
    <row r="19" spans="1:14" x14ac:dyDescent="0.25">
      <c r="A19" s="21" t="s">
        <v>3327</v>
      </c>
      <c r="B19" s="16" t="s">
        <v>3328</v>
      </c>
      <c r="C19" s="17">
        <v>1</v>
      </c>
      <c r="D19" s="22">
        <v>26.99</v>
      </c>
      <c r="E19" s="22">
        <v>26.99</v>
      </c>
      <c r="F19" s="17" t="s">
        <v>3329</v>
      </c>
      <c r="G19" s="16" t="s">
        <v>31</v>
      </c>
      <c r="H19" s="21" t="s">
        <v>27</v>
      </c>
      <c r="I19" s="16" t="s">
        <v>11</v>
      </c>
      <c r="J19" s="16" t="s">
        <v>28</v>
      </c>
      <c r="K19" s="16" t="s">
        <v>29</v>
      </c>
      <c r="L19" s="16"/>
      <c r="M19" s="16"/>
      <c r="N19" s="23" t="str">
        <f>HYPERLINK("http://slimages.macys.com/is/image/MCY/19863901 ")</f>
        <v xml:space="preserve">http://slimages.macys.com/is/image/MCY/19863901 </v>
      </c>
    </row>
    <row r="20" spans="1:14" x14ac:dyDescent="0.25">
      <c r="A20" s="21" t="s">
        <v>3710</v>
      </c>
      <c r="B20" s="16" t="s">
        <v>3711</v>
      </c>
      <c r="C20" s="17">
        <v>1</v>
      </c>
      <c r="D20" s="22">
        <v>26.99</v>
      </c>
      <c r="E20" s="22">
        <v>26.99</v>
      </c>
      <c r="F20" s="17" t="s">
        <v>3562</v>
      </c>
      <c r="G20" s="16" t="s">
        <v>488</v>
      </c>
      <c r="H20" s="21" t="s">
        <v>87</v>
      </c>
      <c r="I20" s="16" t="s">
        <v>11</v>
      </c>
      <c r="J20" s="16" t="s">
        <v>28</v>
      </c>
      <c r="K20" s="16" t="s">
        <v>29</v>
      </c>
      <c r="L20" s="16" t="s">
        <v>111</v>
      </c>
      <c r="M20" s="16" t="s">
        <v>303</v>
      </c>
      <c r="N20" s="23" t="str">
        <f>HYPERLINK("http://slimages.macys.com/is/image/MCY/16479393 ")</f>
        <v xml:space="preserve">http://slimages.macys.com/is/image/MCY/16479393 </v>
      </c>
    </row>
    <row r="21" spans="1:14" x14ac:dyDescent="0.25">
      <c r="A21" s="21" t="s">
        <v>3563</v>
      </c>
      <c r="B21" s="16" t="s">
        <v>3564</v>
      </c>
      <c r="C21" s="17">
        <v>2</v>
      </c>
      <c r="D21" s="22">
        <v>26.99</v>
      </c>
      <c r="E21" s="22">
        <v>53.98</v>
      </c>
      <c r="F21" s="17" t="s">
        <v>3562</v>
      </c>
      <c r="G21" s="16" t="s">
        <v>488</v>
      </c>
      <c r="H21" s="21" t="s">
        <v>32</v>
      </c>
      <c r="I21" s="16" t="s">
        <v>11</v>
      </c>
      <c r="J21" s="16" t="s">
        <v>28</v>
      </c>
      <c r="K21" s="16" t="s">
        <v>29</v>
      </c>
      <c r="L21" s="16" t="s">
        <v>111</v>
      </c>
      <c r="M21" s="16" t="s">
        <v>303</v>
      </c>
      <c r="N21" s="23" t="str">
        <f>HYPERLINK("http://slimages.macys.com/is/image/MCY/16479393 ")</f>
        <v xml:space="preserve">http://slimages.macys.com/is/image/MCY/16479393 </v>
      </c>
    </row>
    <row r="22" spans="1:14" x14ac:dyDescent="0.25">
      <c r="A22" s="21" t="s">
        <v>3957</v>
      </c>
      <c r="B22" s="16" t="s">
        <v>3958</v>
      </c>
      <c r="C22" s="17">
        <v>1</v>
      </c>
      <c r="D22" s="22">
        <v>21.99</v>
      </c>
      <c r="E22" s="22">
        <v>21.99</v>
      </c>
      <c r="F22" s="17" t="s">
        <v>600</v>
      </c>
      <c r="G22" s="16" t="s">
        <v>57</v>
      </c>
      <c r="H22" s="21" t="s">
        <v>47</v>
      </c>
      <c r="I22" s="16" t="s">
        <v>11</v>
      </c>
      <c r="J22" s="16" t="s">
        <v>28</v>
      </c>
      <c r="K22" s="16" t="s">
        <v>29</v>
      </c>
      <c r="L22" s="16"/>
      <c r="M22" s="16"/>
      <c r="N22" s="23" t="str">
        <f>HYPERLINK("http://slimages.macys.com/is/image/MCY/19711779 ")</f>
        <v xml:space="preserve">http://slimages.macys.com/is/image/MCY/19711779 </v>
      </c>
    </row>
    <row r="23" spans="1:14" x14ac:dyDescent="0.25">
      <c r="A23" s="21" t="s">
        <v>3572</v>
      </c>
      <c r="B23" s="16" t="s">
        <v>3573</v>
      </c>
      <c r="C23" s="17">
        <v>2</v>
      </c>
      <c r="D23" s="22">
        <v>21.99</v>
      </c>
      <c r="E23" s="22">
        <v>43.98</v>
      </c>
      <c r="F23" s="17" t="s">
        <v>600</v>
      </c>
      <c r="G23" s="16" t="s">
        <v>57</v>
      </c>
      <c r="H23" s="21" t="s">
        <v>87</v>
      </c>
      <c r="I23" s="16" t="s">
        <v>11</v>
      </c>
      <c r="J23" s="16" t="s">
        <v>28</v>
      </c>
      <c r="K23" s="16" t="s">
        <v>29</v>
      </c>
      <c r="L23" s="16"/>
      <c r="M23" s="16"/>
      <c r="N23" s="23" t="str">
        <f>HYPERLINK("http://slimages.macys.com/is/image/MCY/19711779 ")</f>
        <v xml:space="preserve">http://slimages.macys.com/is/image/MCY/19711779 </v>
      </c>
    </row>
    <row r="24" spans="1:14" x14ac:dyDescent="0.25">
      <c r="A24" s="21" t="s">
        <v>3712</v>
      </c>
      <c r="B24" s="16" t="s">
        <v>3713</v>
      </c>
      <c r="C24" s="17">
        <v>1</v>
      </c>
      <c r="D24" s="22">
        <v>21.99</v>
      </c>
      <c r="E24" s="22">
        <v>21.99</v>
      </c>
      <c r="F24" s="17" t="s">
        <v>600</v>
      </c>
      <c r="G24" s="16" t="s">
        <v>57</v>
      </c>
      <c r="H24" s="21" t="s">
        <v>32</v>
      </c>
      <c r="I24" s="16" t="s">
        <v>11</v>
      </c>
      <c r="J24" s="16" t="s">
        <v>28</v>
      </c>
      <c r="K24" s="16" t="s">
        <v>29</v>
      </c>
      <c r="L24" s="16"/>
      <c r="M24" s="16"/>
      <c r="N24" s="23" t="str">
        <f>HYPERLINK("http://slimages.macys.com/is/image/MCY/19711779 ")</f>
        <v xml:space="preserve">http://slimages.macys.com/is/image/MCY/19711779 </v>
      </c>
    </row>
    <row r="25" spans="1:14" x14ac:dyDescent="0.25">
      <c r="A25" s="21" t="s">
        <v>3897</v>
      </c>
      <c r="B25" s="16" t="s">
        <v>3898</v>
      </c>
      <c r="C25" s="17">
        <v>1</v>
      </c>
      <c r="D25" s="22">
        <v>19.989999999999998</v>
      </c>
      <c r="E25" s="22">
        <v>19.989999999999998</v>
      </c>
      <c r="F25" s="17" t="s">
        <v>3574</v>
      </c>
      <c r="G25" s="16" t="s">
        <v>488</v>
      </c>
      <c r="H25" s="21" t="s">
        <v>40</v>
      </c>
      <c r="I25" s="16" t="s">
        <v>11</v>
      </c>
      <c r="J25" s="16" t="s">
        <v>28</v>
      </c>
      <c r="K25" s="16" t="s">
        <v>29</v>
      </c>
      <c r="L25" s="16" t="s">
        <v>111</v>
      </c>
      <c r="M25" s="16" t="s">
        <v>303</v>
      </c>
      <c r="N25" s="23" t="str">
        <f>HYPERLINK("http://slimages.macys.com/is/image/MCY/16271427 ")</f>
        <v xml:space="preserve">http://slimages.macys.com/is/image/MCY/16271427 </v>
      </c>
    </row>
    <row r="26" spans="1:14" x14ac:dyDescent="0.25">
      <c r="A26" s="21" t="s">
        <v>3839</v>
      </c>
      <c r="B26" s="16" t="s">
        <v>3840</v>
      </c>
      <c r="C26" s="17">
        <v>1</v>
      </c>
      <c r="D26" s="22">
        <v>19.989999999999998</v>
      </c>
      <c r="E26" s="22">
        <v>19.989999999999998</v>
      </c>
      <c r="F26" s="17" t="s">
        <v>3574</v>
      </c>
      <c r="G26" s="16" t="s">
        <v>488</v>
      </c>
      <c r="H26" s="21" t="s">
        <v>87</v>
      </c>
      <c r="I26" s="16" t="s">
        <v>11</v>
      </c>
      <c r="J26" s="16" t="s">
        <v>28</v>
      </c>
      <c r="K26" s="16" t="s">
        <v>29</v>
      </c>
      <c r="L26" s="16" t="s">
        <v>111</v>
      </c>
      <c r="M26" s="16" t="s">
        <v>303</v>
      </c>
      <c r="N26" s="23" t="str">
        <f>HYPERLINK("http://slimages.macys.com/is/image/MCY/16271427 ")</f>
        <v xml:space="preserve">http://slimages.macys.com/is/image/MCY/16271427 </v>
      </c>
    </row>
    <row r="27" spans="1:14" x14ac:dyDescent="0.25">
      <c r="A27" s="21" t="s">
        <v>4239</v>
      </c>
      <c r="B27" s="16" t="s">
        <v>4240</v>
      </c>
      <c r="C27" s="17">
        <v>1</v>
      </c>
      <c r="D27" s="22">
        <v>33.6</v>
      </c>
      <c r="E27" s="22">
        <v>33.6</v>
      </c>
      <c r="F27" s="17">
        <v>3488</v>
      </c>
      <c r="G27" s="16" t="s">
        <v>120</v>
      </c>
      <c r="H27" s="21" t="s">
        <v>227</v>
      </c>
      <c r="I27" s="16" t="s">
        <v>11</v>
      </c>
      <c r="J27" s="16" t="s">
        <v>109</v>
      </c>
      <c r="K27" s="16" t="s">
        <v>110</v>
      </c>
      <c r="L27" s="16" t="s">
        <v>111</v>
      </c>
      <c r="M27" s="16" t="s">
        <v>113</v>
      </c>
      <c r="N27" s="23" t="str">
        <f>HYPERLINK("http://slimages.macys.com/is/image/MCY/10782262 ")</f>
        <v xml:space="preserve">http://slimages.macys.com/is/image/MCY/10782262 </v>
      </c>
    </row>
    <row r="28" spans="1:14" x14ac:dyDescent="0.25">
      <c r="A28" s="21" t="s">
        <v>4241</v>
      </c>
      <c r="B28" s="16" t="s">
        <v>4242</v>
      </c>
      <c r="C28" s="17">
        <v>1</v>
      </c>
      <c r="D28" s="22">
        <v>35.200000000000003</v>
      </c>
      <c r="E28" s="22">
        <v>35.200000000000003</v>
      </c>
      <c r="F28" s="17" t="s">
        <v>4243</v>
      </c>
      <c r="G28" s="16" t="s">
        <v>86</v>
      </c>
      <c r="H28" s="21" t="s">
        <v>1665</v>
      </c>
      <c r="I28" s="16" t="s">
        <v>11</v>
      </c>
      <c r="J28" s="16" t="s">
        <v>109</v>
      </c>
      <c r="K28" s="16" t="s">
        <v>110</v>
      </c>
      <c r="L28" s="16" t="s">
        <v>111</v>
      </c>
      <c r="M28" s="16" t="s">
        <v>113</v>
      </c>
      <c r="N28" s="23" t="str">
        <f>HYPERLINK("http://slimages.macys.com/is/image/MCY/8480122 ")</f>
        <v xml:space="preserve">http://slimages.macys.com/is/image/MCY/8480122 </v>
      </c>
    </row>
    <row r="29" spans="1:14" x14ac:dyDescent="0.25">
      <c r="A29" s="21" t="s">
        <v>936</v>
      </c>
      <c r="B29" s="16" t="s">
        <v>937</v>
      </c>
      <c r="C29" s="17">
        <v>1</v>
      </c>
      <c r="D29" s="22">
        <v>32.99</v>
      </c>
      <c r="E29" s="22">
        <v>32.99</v>
      </c>
      <c r="F29" s="17">
        <v>100069427</v>
      </c>
      <c r="G29" s="16" t="s">
        <v>83</v>
      </c>
      <c r="H29" s="21" t="s">
        <v>40</v>
      </c>
      <c r="I29" s="16" t="s">
        <v>11</v>
      </c>
      <c r="J29" s="16" t="s">
        <v>130</v>
      </c>
      <c r="K29" s="16" t="s">
        <v>131</v>
      </c>
      <c r="L29" s="16" t="s">
        <v>111</v>
      </c>
      <c r="M29" s="16" t="s">
        <v>415</v>
      </c>
      <c r="N29" s="23" t="str">
        <f>HYPERLINK("http://slimages.macys.com/is/image/MCY/14313549 ")</f>
        <v xml:space="preserve">http://slimages.macys.com/is/image/MCY/14313549 </v>
      </c>
    </row>
    <row r="30" spans="1:14" x14ac:dyDescent="0.25">
      <c r="A30" s="21" t="s">
        <v>4244</v>
      </c>
      <c r="B30" s="16" t="s">
        <v>4245</v>
      </c>
      <c r="C30" s="17">
        <v>2</v>
      </c>
      <c r="D30" s="22">
        <v>44.99</v>
      </c>
      <c r="E30" s="22">
        <v>89.98</v>
      </c>
      <c r="F30" s="17">
        <v>100107844</v>
      </c>
      <c r="G30" s="16" t="s">
        <v>37</v>
      </c>
      <c r="H30" s="21"/>
      <c r="I30" s="16" t="s">
        <v>11</v>
      </c>
      <c r="J30" s="16" t="s">
        <v>130</v>
      </c>
      <c r="K30" s="16" t="s">
        <v>131</v>
      </c>
      <c r="L30" s="16"/>
      <c r="M30" s="16"/>
      <c r="N30" s="23" t="str">
        <f>HYPERLINK("http://slimages.macys.com/is/image/MCY/19361857 ")</f>
        <v xml:space="preserve">http://slimages.macys.com/is/image/MCY/19361857 </v>
      </c>
    </row>
    <row r="31" spans="1:14" x14ac:dyDescent="0.25">
      <c r="A31" s="21" t="s">
        <v>4246</v>
      </c>
      <c r="B31" s="16" t="s">
        <v>4247</v>
      </c>
      <c r="C31" s="17">
        <v>4</v>
      </c>
      <c r="D31" s="22">
        <v>32.99</v>
      </c>
      <c r="E31" s="22">
        <v>131.96</v>
      </c>
      <c r="F31" s="17" t="s">
        <v>1660</v>
      </c>
      <c r="G31" s="16" t="s">
        <v>122</v>
      </c>
      <c r="H31" s="21" t="s">
        <v>32</v>
      </c>
      <c r="I31" s="16" t="s">
        <v>11</v>
      </c>
      <c r="J31" s="16" t="s">
        <v>130</v>
      </c>
      <c r="K31" s="16" t="s">
        <v>131</v>
      </c>
      <c r="L31" s="16"/>
      <c r="M31" s="16"/>
      <c r="N31" s="23" t="str">
        <f t="shared" ref="N31:N36" si="0">HYPERLINK("http://slimages.macys.com/is/image/MCY/19224695 ")</f>
        <v xml:space="preserve">http://slimages.macys.com/is/image/MCY/19224695 </v>
      </c>
    </row>
    <row r="32" spans="1:14" x14ac:dyDescent="0.25">
      <c r="A32" s="21" t="s">
        <v>645</v>
      </c>
      <c r="B32" s="16" t="s">
        <v>646</v>
      </c>
      <c r="C32" s="17">
        <v>19</v>
      </c>
      <c r="D32" s="22">
        <v>32.99</v>
      </c>
      <c r="E32" s="22">
        <v>626.80999999999995</v>
      </c>
      <c r="F32" s="17" t="s">
        <v>647</v>
      </c>
      <c r="G32" s="16" t="s">
        <v>86</v>
      </c>
      <c r="H32" s="21" t="s">
        <v>87</v>
      </c>
      <c r="I32" s="16" t="s">
        <v>11</v>
      </c>
      <c r="J32" s="16" t="s">
        <v>130</v>
      </c>
      <c r="K32" s="16" t="s">
        <v>131</v>
      </c>
      <c r="L32" s="16"/>
      <c r="M32" s="16"/>
      <c r="N32" s="23" t="str">
        <f t="shared" si="0"/>
        <v xml:space="preserve">http://slimages.macys.com/is/image/MCY/19224695 </v>
      </c>
    </row>
    <row r="33" spans="1:14" x14ac:dyDescent="0.25">
      <c r="A33" s="21" t="s">
        <v>1659</v>
      </c>
      <c r="B33" s="16" t="s">
        <v>3777</v>
      </c>
      <c r="C33" s="17">
        <v>22</v>
      </c>
      <c r="D33" s="22">
        <v>32.99</v>
      </c>
      <c r="E33" s="22">
        <v>725.78</v>
      </c>
      <c r="F33" s="17" t="s">
        <v>1660</v>
      </c>
      <c r="G33" s="16" t="s">
        <v>122</v>
      </c>
      <c r="H33" s="21" t="s">
        <v>87</v>
      </c>
      <c r="I33" s="16" t="s">
        <v>11</v>
      </c>
      <c r="J33" s="16" t="s">
        <v>130</v>
      </c>
      <c r="K33" s="16" t="s">
        <v>131</v>
      </c>
      <c r="L33" s="16"/>
      <c r="M33" s="16"/>
      <c r="N33" s="23" t="str">
        <f t="shared" si="0"/>
        <v xml:space="preserve">http://slimages.macys.com/is/image/MCY/19224695 </v>
      </c>
    </row>
    <row r="34" spans="1:14" x14ac:dyDescent="0.25">
      <c r="A34" s="21" t="s">
        <v>1661</v>
      </c>
      <c r="B34" s="16" t="s">
        <v>4248</v>
      </c>
      <c r="C34" s="17">
        <v>13</v>
      </c>
      <c r="D34" s="22">
        <v>32.99</v>
      </c>
      <c r="E34" s="22">
        <v>428.87</v>
      </c>
      <c r="F34" s="17" t="s">
        <v>1660</v>
      </c>
      <c r="G34" s="16" t="s">
        <v>122</v>
      </c>
      <c r="H34" s="21" t="s">
        <v>27</v>
      </c>
      <c r="I34" s="16" t="s">
        <v>11</v>
      </c>
      <c r="J34" s="16" t="s">
        <v>130</v>
      </c>
      <c r="K34" s="16" t="s">
        <v>131</v>
      </c>
      <c r="L34" s="16"/>
      <c r="M34" s="16"/>
      <c r="N34" s="23" t="str">
        <f t="shared" si="0"/>
        <v xml:space="preserve">http://slimages.macys.com/is/image/MCY/19224695 </v>
      </c>
    </row>
    <row r="35" spans="1:14" x14ac:dyDescent="0.25">
      <c r="A35" s="21" t="s">
        <v>3843</v>
      </c>
      <c r="B35" s="16" t="s">
        <v>3844</v>
      </c>
      <c r="C35" s="17">
        <v>1</v>
      </c>
      <c r="D35" s="22">
        <v>32.99</v>
      </c>
      <c r="E35" s="22">
        <v>32.99</v>
      </c>
      <c r="F35" s="17" t="s">
        <v>647</v>
      </c>
      <c r="G35" s="16" t="s">
        <v>86</v>
      </c>
      <c r="H35" s="21" t="s">
        <v>32</v>
      </c>
      <c r="I35" s="16" t="s">
        <v>11</v>
      </c>
      <c r="J35" s="16" t="s">
        <v>130</v>
      </c>
      <c r="K35" s="16" t="s">
        <v>131</v>
      </c>
      <c r="L35" s="16"/>
      <c r="M35" s="16"/>
      <c r="N35" s="23" t="str">
        <f t="shared" si="0"/>
        <v xml:space="preserve">http://slimages.macys.com/is/image/MCY/19224695 </v>
      </c>
    </row>
    <row r="36" spans="1:14" x14ac:dyDescent="0.25">
      <c r="A36" s="21" t="s">
        <v>4249</v>
      </c>
      <c r="B36" s="16" t="s">
        <v>4250</v>
      </c>
      <c r="C36" s="17">
        <v>19</v>
      </c>
      <c r="D36" s="22">
        <v>32.99</v>
      </c>
      <c r="E36" s="22">
        <v>626.80999999999995</v>
      </c>
      <c r="F36" s="17" t="s">
        <v>647</v>
      </c>
      <c r="G36" s="16" t="s">
        <v>86</v>
      </c>
      <c r="H36" s="21" t="s">
        <v>40</v>
      </c>
      <c r="I36" s="16" t="s">
        <v>11</v>
      </c>
      <c r="J36" s="16" t="s">
        <v>130</v>
      </c>
      <c r="K36" s="16" t="s">
        <v>131</v>
      </c>
      <c r="L36" s="16"/>
      <c r="M36" s="16"/>
      <c r="N36" s="23" t="str">
        <f t="shared" si="0"/>
        <v xml:space="preserve">http://slimages.macys.com/is/image/MCY/19224695 </v>
      </c>
    </row>
    <row r="37" spans="1:14" x14ac:dyDescent="0.25">
      <c r="A37" s="21" t="s">
        <v>4251</v>
      </c>
      <c r="B37" s="16" t="s">
        <v>4252</v>
      </c>
      <c r="C37" s="17">
        <v>6</v>
      </c>
      <c r="D37" s="22">
        <v>32.99</v>
      </c>
      <c r="E37" s="22">
        <v>197.94</v>
      </c>
      <c r="F37" s="17" t="s">
        <v>2760</v>
      </c>
      <c r="G37" s="16" t="s">
        <v>122</v>
      </c>
      <c r="H37" s="21" t="s">
        <v>55</v>
      </c>
      <c r="I37" s="16" t="s">
        <v>11</v>
      </c>
      <c r="J37" s="16" t="s">
        <v>130</v>
      </c>
      <c r="K37" s="16" t="s">
        <v>131</v>
      </c>
      <c r="L37" s="16" t="s">
        <v>111</v>
      </c>
      <c r="M37" s="16" t="s">
        <v>415</v>
      </c>
      <c r="N37" s="23" t="str">
        <f>HYPERLINK("http://slimages.macys.com/is/image/MCY/14334073 ")</f>
        <v xml:space="preserve">http://slimages.macys.com/is/image/MCY/14334073 </v>
      </c>
    </row>
    <row r="38" spans="1:14" x14ac:dyDescent="0.25">
      <c r="A38" s="21" t="s">
        <v>4253</v>
      </c>
      <c r="B38" s="16" t="s">
        <v>4254</v>
      </c>
      <c r="C38" s="17">
        <v>14</v>
      </c>
      <c r="D38" s="22">
        <v>32.99</v>
      </c>
      <c r="E38" s="22">
        <v>461.86</v>
      </c>
      <c r="F38" s="17" t="s">
        <v>2760</v>
      </c>
      <c r="G38" s="16" t="s">
        <v>122</v>
      </c>
      <c r="H38" s="21" t="s">
        <v>27</v>
      </c>
      <c r="I38" s="16" t="s">
        <v>11</v>
      </c>
      <c r="J38" s="16" t="s">
        <v>130</v>
      </c>
      <c r="K38" s="16" t="s">
        <v>131</v>
      </c>
      <c r="L38" s="16" t="s">
        <v>111</v>
      </c>
      <c r="M38" s="16" t="s">
        <v>415</v>
      </c>
      <c r="N38" s="23" t="str">
        <f>HYPERLINK("http://slimages.macys.com/is/image/MCY/14334073 ")</f>
        <v xml:space="preserve">http://slimages.macys.com/is/image/MCY/14334073 </v>
      </c>
    </row>
    <row r="39" spans="1:14" x14ac:dyDescent="0.25">
      <c r="A39" s="21" t="s">
        <v>4255</v>
      </c>
      <c r="B39" s="16" t="s">
        <v>4256</v>
      </c>
      <c r="C39" s="17">
        <v>1</v>
      </c>
      <c r="D39" s="22">
        <v>32.99</v>
      </c>
      <c r="E39" s="22">
        <v>32.99</v>
      </c>
      <c r="F39" s="17" t="s">
        <v>2760</v>
      </c>
      <c r="G39" s="16" t="s">
        <v>122</v>
      </c>
      <c r="H39" s="21" t="s">
        <v>87</v>
      </c>
      <c r="I39" s="16" t="s">
        <v>11</v>
      </c>
      <c r="J39" s="16" t="s">
        <v>130</v>
      </c>
      <c r="K39" s="16" t="s">
        <v>131</v>
      </c>
      <c r="L39" s="16" t="s">
        <v>111</v>
      </c>
      <c r="M39" s="16" t="s">
        <v>415</v>
      </c>
      <c r="N39" s="23" t="str">
        <f>HYPERLINK("http://slimages.macys.com/is/image/MCY/14334073 ")</f>
        <v xml:space="preserve">http://slimages.macys.com/is/image/MCY/14334073 </v>
      </c>
    </row>
    <row r="40" spans="1:14" x14ac:dyDescent="0.25">
      <c r="A40" s="21" t="s">
        <v>4257</v>
      </c>
      <c r="B40" s="16" t="s">
        <v>4258</v>
      </c>
      <c r="C40" s="17">
        <v>18</v>
      </c>
      <c r="D40" s="22">
        <v>32.99</v>
      </c>
      <c r="E40" s="22">
        <v>593.82000000000005</v>
      </c>
      <c r="F40" s="17" t="s">
        <v>2760</v>
      </c>
      <c r="G40" s="16" t="s">
        <v>122</v>
      </c>
      <c r="H40" s="21" t="s">
        <v>32</v>
      </c>
      <c r="I40" s="16" t="s">
        <v>11</v>
      </c>
      <c r="J40" s="16" t="s">
        <v>130</v>
      </c>
      <c r="K40" s="16" t="s">
        <v>131</v>
      </c>
      <c r="L40" s="16" t="s">
        <v>111</v>
      </c>
      <c r="M40" s="16" t="s">
        <v>415</v>
      </c>
      <c r="N40" s="23" t="str">
        <f>HYPERLINK("http://slimages.macys.com/is/image/MCY/14334073 ")</f>
        <v xml:space="preserve">http://slimages.macys.com/is/image/MCY/14334073 </v>
      </c>
    </row>
    <row r="41" spans="1:14" x14ac:dyDescent="0.25">
      <c r="A41" s="21" t="s">
        <v>4259</v>
      </c>
      <c r="B41" s="16" t="s">
        <v>4260</v>
      </c>
      <c r="C41" s="17">
        <v>1</v>
      </c>
      <c r="D41" s="22">
        <v>29.99</v>
      </c>
      <c r="E41" s="22">
        <v>29.99</v>
      </c>
      <c r="F41" s="17" t="s">
        <v>4261</v>
      </c>
      <c r="G41" s="16" t="s">
        <v>82</v>
      </c>
      <c r="H41" s="21" t="s">
        <v>27</v>
      </c>
      <c r="I41" s="16" t="s">
        <v>11</v>
      </c>
      <c r="J41" s="16" t="s">
        <v>130</v>
      </c>
      <c r="K41" s="16" t="s">
        <v>131</v>
      </c>
      <c r="L41" s="16"/>
      <c r="M41" s="16"/>
      <c r="N41" s="23" t="str">
        <f>HYPERLINK("http://slimages.macys.com/is/image/MCY/19640672 ")</f>
        <v xml:space="preserve">http://slimages.macys.com/is/image/MCY/19640672 </v>
      </c>
    </row>
    <row r="42" spans="1:14" x14ac:dyDescent="0.25">
      <c r="A42" s="21" t="s">
        <v>4262</v>
      </c>
      <c r="B42" s="16" t="s">
        <v>4263</v>
      </c>
      <c r="C42" s="17">
        <v>1</v>
      </c>
      <c r="D42" s="22">
        <v>26.11</v>
      </c>
      <c r="E42" s="22">
        <v>26.11</v>
      </c>
      <c r="F42" s="17" t="s">
        <v>1160</v>
      </c>
      <c r="G42" s="16" t="s">
        <v>31</v>
      </c>
      <c r="H42" s="21" t="s">
        <v>32</v>
      </c>
      <c r="I42" s="16" t="s">
        <v>11</v>
      </c>
      <c r="J42" s="16" t="s">
        <v>130</v>
      </c>
      <c r="K42" s="16" t="s">
        <v>131</v>
      </c>
      <c r="L42" s="16"/>
      <c r="M42" s="16"/>
      <c r="N42" s="23" t="str">
        <f>HYPERLINK("http://slimages.macys.com/is/image/MCY/19278456 ")</f>
        <v xml:space="preserve">http://slimages.macys.com/is/image/MCY/19278456 </v>
      </c>
    </row>
    <row r="43" spans="1:14" x14ac:dyDescent="0.25">
      <c r="A43" s="21" t="s">
        <v>3845</v>
      </c>
      <c r="B43" s="16" t="s">
        <v>3846</v>
      </c>
      <c r="C43" s="17">
        <v>1</v>
      </c>
      <c r="D43" s="22">
        <v>24.99</v>
      </c>
      <c r="E43" s="22">
        <v>24.99</v>
      </c>
      <c r="F43" s="17" t="s">
        <v>3575</v>
      </c>
      <c r="G43" s="16" t="s">
        <v>44</v>
      </c>
      <c r="H43" s="21" t="s">
        <v>27</v>
      </c>
      <c r="I43" s="16" t="s">
        <v>11</v>
      </c>
      <c r="J43" s="16" t="s">
        <v>130</v>
      </c>
      <c r="K43" s="16" t="s">
        <v>131</v>
      </c>
      <c r="L43" s="16"/>
      <c r="M43" s="16"/>
      <c r="N43" s="23" t="str">
        <f>HYPERLINK("http://slimages.macys.com/is/image/MCY/20453849 ")</f>
        <v xml:space="preserve">http://slimages.macys.com/is/image/MCY/20453849 </v>
      </c>
    </row>
    <row r="44" spans="1:14" x14ac:dyDescent="0.25">
      <c r="A44" s="21" t="s">
        <v>3903</v>
      </c>
      <c r="B44" s="16" t="s">
        <v>3904</v>
      </c>
      <c r="C44" s="17">
        <v>2</v>
      </c>
      <c r="D44" s="22">
        <v>24.99</v>
      </c>
      <c r="E44" s="22">
        <v>49.98</v>
      </c>
      <c r="F44" s="17" t="s">
        <v>3575</v>
      </c>
      <c r="G44" s="16" t="s">
        <v>44</v>
      </c>
      <c r="H44" s="21" t="s">
        <v>87</v>
      </c>
      <c r="I44" s="16" t="s">
        <v>11</v>
      </c>
      <c r="J44" s="16" t="s">
        <v>130</v>
      </c>
      <c r="K44" s="16" t="s">
        <v>131</v>
      </c>
      <c r="L44" s="16"/>
      <c r="M44" s="16"/>
      <c r="N44" s="23" t="str">
        <f>HYPERLINK("http://slimages.macys.com/is/image/MCY/20453849 ")</f>
        <v xml:space="preserve">http://slimages.macys.com/is/image/MCY/20453849 </v>
      </c>
    </row>
    <row r="45" spans="1:14" x14ac:dyDescent="0.25">
      <c r="A45" s="21" t="s">
        <v>3716</v>
      </c>
      <c r="B45" s="16" t="s">
        <v>3717</v>
      </c>
      <c r="C45" s="17">
        <v>1</v>
      </c>
      <c r="D45" s="22">
        <v>22.99</v>
      </c>
      <c r="E45" s="22">
        <v>22.99</v>
      </c>
      <c r="F45" s="17" t="s">
        <v>3576</v>
      </c>
      <c r="G45" s="16" t="s">
        <v>102</v>
      </c>
      <c r="H45" s="21" t="s">
        <v>87</v>
      </c>
      <c r="I45" s="16" t="s">
        <v>11</v>
      </c>
      <c r="J45" s="16" t="s">
        <v>130</v>
      </c>
      <c r="K45" s="16" t="s">
        <v>131</v>
      </c>
      <c r="L45" s="16"/>
      <c r="M45" s="16"/>
      <c r="N45" s="23" t="str">
        <f>HYPERLINK("http://slimages.macys.com/is/image/MCY/20352544 ")</f>
        <v xml:space="preserve">http://slimages.macys.com/is/image/MCY/20352544 </v>
      </c>
    </row>
    <row r="46" spans="1:14" x14ac:dyDescent="0.25">
      <c r="A46" s="21" t="s">
        <v>4264</v>
      </c>
      <c r="B46" s="16" t="s">
        <v>4265</v>
      </c>
      <c r="C46" s="17">
        <v>1</v>
      </c>
      <c r="D46" s="22">
        <v>22.99</v>
      </c>
      <c r="E46" s="22">
        <v>22.99</v>
      </c>
      <c r="F46" s="17" t="s">
        <v>656</v>
      </c>
      <c r="G46" s="16" t="s">
        <v>104</v>
      </c>
      <c r="H46" s="21" t="s">
        <v>27</v>
      </c>
      <c r="I46" s="16" t="s">
        <v>11</v>
      </c>
      <c r="J46" s="16" t="s">
        <v>130</v>
      </c>
      <c r="K46" s="16" t="s">
        <v>131</v>
      </c>
      <c r="L46" s="16"/>
      <c r="M46" s="16"/>
      <c r="N46" s="23" t="str">
        <f>HYPERLINK("http://slimages.macys.com/is/image/MCY/19224657 ")</f>
        <v xml:space="preserve">http://slimages.macys.com/is/image/MCY/19224657 </v>
      </c>
    </row>
    <row r="47" spans="1:14" x14ac:dyDescent="0.25">
      <c r="A47" s="21" t="s">
        <v>3909</v>
      </c>
      <c r="B47" s="16" t="s">
        <v>3910</v>
      </c>
      <c r="C47" s="17">
        <v>1</v>
      </c>
      <c r="D47" s="22">
        <v>24.99</v>
      </c>
      <c r="E47" s="22">
        <v>24.99</v>
      </c>
      <c r="F47" s="17" t="s">
        <v>3579</v>
      </c>
      <c r="G47" s="16" t="s">
        <v>31</v>
      </c>
      <c r="H47" s="21" t="s">
        <v>40</v>
      </c>
      <c r="I47" s="16" t="s">
        <v>11</v>
      </c>
      <c r="J47" s="16" t="s">
        <v>130</v>
      </c>
      <c r="K47" s="16" t="s">
        <v>131</v>
      </c>
      <c r="L47" s="16"/>
      <c r="M47" s="16"/>
      <c r="N47" s="23" t="str">
        <f>HYPERLINK("http://slimages.macys.com/is/image/MCY/1064527 ")</f>
        <v xml:space="preserve">http://slimages.macys.com/is/image/MCY/1064527 </v>
      </c>
    </row>
    <row r="48" spans="1:14" x14ac:dyDescent="0.25">
      <c r="A48" s="21" t="s">
        <v>3847</v>
      </c>
      <c r="B48" s="16" t="s">
        <v>3848</v>
      </c>
      <c r="C48" s="17">
        <v>1</v>
      </c>
      <c r="D48" s="22">
        <v>24.99</v>
      </c>
      <c r="E48" s="22">
        <v>24.99</v>
      </c>
      <c r="F48" s="17" t="s">
        <v>3579</v>
      </c>
      <c r="G48" s="16" t="s">
        <v>31</v>
      </c>
      <c r="H48" s="21" t="s">
        <v>47</v>
      </c>
      <c r="I48" s="16" t="s">
        <v>11</v>
      </c>
      <c r="J48" s="16" t="s">
        <v>130</v>
      </c>
      <c r="K48" s="16" t="s">
        <v>131</v>
      </c>
      <c r="L48" s="16"/>
      <c r="M48" s="16"/>
      <c r="N48" s="23" t="str">
        <f>HYPERLINK("http://slimages.macys.com/is/image/MCY/19789675 ")</f>
        <v xml:space="preserve">http://slimages.macys.com/is/image/MCY/19789675 </v>
      </c>
    </row>
    <row r="49" spans="1:14" x14ac:dyDescent="0.25">
      <c r="A49" s="21" t="s">
        <v>3580</v>
      </c>
      <c r="B49" s="16" t="s">
        <v>3581</v>
      </c>
      <c r="C49" s="17">
        <v>1</v>
      </c>
      <c r="D49" s="22">
        <v>24.99</v>
      </c>
      <c r="E49" s="22">
        <v>24.99</v>
      </c>
      <c r="F49" s="17" t="s">
        <v>3579</v>
      </c>
      <c r="G49" s="16" t="s">
        <v>31</v>
      </c>
      <c r="H49" s="21" t="s">
        <v>32</v>
      </c>
      <c r="I49" s="16" t="s">
        <v>11</v>
      </c>
      <c r="J49" s="16" t="s">
        <v>130</v>
      </c>
      <c r="K49" s="16" t="s">
        <v>131</v>
      </c>
      <c r="L49" s="16"/>
      <c r="M49" s="16"/>
      <c r="N49" s="23" t="str">
        <f>HYPERLINK("http://slimages.macys.com/is/image/MCY/1064527 ")</f>
        <v xml:space="preserve">http://slimages.macys.com/is/image/MCY/1064527 </v>
      </c>
    </row>
    <row r="50" spans="1:14" x14ac:dyDescent="0.25">
      <c r="A50" s="21" t="s">
        <v>3907</v>
      </c>
      <c r="B50" s="16" t="s">
        <v>3908</v>
      </c>
      <c r="C50" s="17">
        <v>1</v>
      </c>
      <c r="D50" s="22">
        <v>24.99</v>
      </c>
      <c r="E50" s="22">
        <v>24.99</v>
      </c>
      <c r="F50" s="17" t="s">
        <v>3579</v>
      </c>
      <c r="G50" s="16" t="s">
        <v>31</v>
      </c>
      <c r="H50" s="21" t="s">
        <v>27</v>
      </c>
      <c r="I50" s="16" t="s">
        <v>11</v>
      </c>
      <c r="J50" s="16" t="s">
        <v>130</v>
      </c>
      <c r="K50" s="16" t="s">
        <v>131</v>
      </c>
      <c r="L50" s="16"/>
      <c r="M50" s="16"/>
      <c r="N50" s="23" t="str">
        <f>HYPERLINK("http://slimages.macys.com/is/image/MCY/1064527 ")</f>
        <v xml:space="preserve">http://slimages.macys.com/is/image/MCY/1064527 </v>
      </c>
    </row>
    <row r="51" spans="1:14" x14ac:dyDescent="0.25">
      <c r="A51" s="21" t="s">
        <v>4032</v>
      </c>
      <c r="B51" s="16" t="s">
        <v>4033</v>
      </c>
      <c r="C51" s="17">
        <v>1</v>
      </c>
      <c r="D51" s="22">
        <v>19.989999999999998</v>
      </c>
      <c r="E51" s="22">
        <v>19.989999999999998</v>
      </c>
      <c r="F51" s="17" t="s">
        <v>3961</v>
      </c>
      <c r="G51" s="16" t="s">
        <v>214</v>
      </c>
      <c r="H51" s="21" t="s">
        <v>47</v>
      </c>
      <c r="I51" s="16" t="s">
        <v>11</v>
      </c>
      <c r="J51" s="16" t="s">
        <v>130</v>
      </c>
      <c r="K51" s="16" t="s">
        <v>131</v>
      </c>
      <c r="L51" s="16"/>
      <c r="M51" s="16"/>
      <c r="N51" s="23" t="str">
        <f>HYPERLINK("http://slimages.macys.com/is/image/MCY/1136597 ")</f>
        <v xml:space="preserve">http://slimages.macys.com/is/image/MCY/1136597 </v>
      </c>
    </row>
    <row r="52" spans="1:14" x14ac:dyDescent="0.25">
      <c r="A52" s="21" t="s">
        <v>4266</v>
      </c>
      <c r="B52" s="16" t="s">
        <v>4267</v>
      </c>
      <c r="C52" s="17">
        <v>5</v>
      </c>
      <c r="D52" s="22">
        <v>17.989999999999998</v>
      </c>
      <c r="E52" s="22">
        <v>89.95</v>
      </c>
      <c r="F52" s="17" t="s">
        <v>659</v>
      </c>
      <c r="G52" s="16" t="s">
        <v>83</v>
      </c>
      <c r="H52" s="21" t="s">
        <v>40</v>
      </c>
      <c r="I52" s="16" t="s">
        <v>11</v>
      </c>
      <c r="J52" s="16" t="s">
        <v>130</v>
      </c>
      <c r="K52" s="16" t="s">
        <v>131</v>
      </c>
      <c r="L52" s="16"/>
      <c r="M52" s="16"/>
      <c r="N52" s="23" t="str">
        <f>HYPERLINK("http://slimages.macys.com/is/image/MCY/19612262 ")</f>
        <v xml:space="preserve">http://slimages.macys.com/is/image/MCY/19612262 </v>
      </c>
    </row>
    <row r="53" spans="1:14" x14ac:dyDescent="0.25">
      <c r="A53" s="21" t="s">
        <v>4268</v>
      </c>
      <c r="B53" s="16" t="s">
        <v>4269</v>
      </c>
      <c r="C53" s="17">
        <v>1</v>
      </c>
      <c r="D53" s="22">
        <v>18.989999999999998</v>
      </c>
      <c r="E53" s="22">
        <v>18.989999999999998</v>
      </c>
      <c r="F53" s="17">
        <v>100096597</v>
      </c>
      <c r="G53" s="16" t="s">
        <v>31</v>
      </c>
      <c r="H53" s="21" t="s">
        <v>55</v>
      </c>
      <c r="I53" s="16" t="s">
        <v>11</v>
      </c>
      <c r="J53" s="16" t="s">
        <v>130</v>
      </c>
      <c r="K53" s="16" t="s">
        <v>131</v>
      </c>
      <c r="L53" s="16"/>
      <c r="M53" s="16"/>
      <c r="N53" s="23" t="str">
        <f>HYPERLINK("http://slimages.macys.com/is/image/MCY/17683347 ")</f>
        <v xml:space="preserve">http://slimages.macys.com/is/image/MCY/17683347 </v>
      </c>
    </row>
    <row r="54" spans="1:14" x14ac:dyDescent="0.25">
      <c r="A54" s="21" t="s">
        <v>3296</v>
      </c>
      <c r="B54" s="16" t="s">
        <v>3297</v>
      </c>
      <c r="C54" s="17">
        <v>22</v>
      </c>
      <c r="D54" s="22">
        <v>44</v>
      </c>
      <c r="E54" s="22">
        <v>968</v>
      </c>
      <c r="F54" s="17" t="s">
        <v>3298</v>
      </c>
      <c r="G54" s="16" t="s">
        <v>57</v>
      </c>
      <c r="H54" s="21" t="s">
        <v>149</v>
      </c>
      <c r="I54" s="16" t="s">
        <v>11</v>
      </c>
      <c r="J54" s="16" t="s">
        <v>142</v>
      </c>
      <c r="K54" s="16" t="s">
        <v>143</v>
      </c>
      <c r="L54" s="16" t="s">
        <v>111</v>
      </c>
      <c r="M54" s="16" t="s">
        <v>118</v>
      </c>
      <c r="N54" s="23" t="str">
        <f>HYPERLINK("http://slimages.macys.com/is/image/MCY/16384251 ")</f>
        <v xml:space="preserve">http://slimages.macys.com/is/image/MCY/16384251 </v>
      </c>
    </row>
    <row r="55" spans="1:14" x14ac:dyDescent="0.25">
      <c r="A55" s="21" t="s">
        <v>3299</v>
      </c>
      <c r="B55" s="16" t="s">
        <v>3300</v>
      </c>
      <c r="C55" s="17">
        <v>14</v>
      </c>
      <c r="D55" s="22">
        <v>44</v>
      </c>
      <c r="E55" s="22">
        <v>616</v>
      </c>
      <c r="F55" s="17" t="s">
        <v>3298</v>
      </c>
      <c r="G55" s="16" t="s">
        <v>57</v>
      </c>
      <c r="H55" s="21" t="s">
        <v>286</v>
      </c>
      <c r="I55" s="16" t="s">
        <v>11</v>
      </c>
      <c r="J55" s="16" t="s">
        <v>142</v>
      </c>
      <c r="K55" s="16" t="s">
        <v>143</v>
      </c>
      <c r="L55" s="16" t="s">
        <v>111</v>
      </c>
      <c r="M55" s="16" t="s">
        <v>118</v>
      </c>
      <c r="N55" s="23" t="str">
        <f>HYPERLINK("http://slimages.macys.com/is/image/MCY/16384251 ")</f>
        <v xml:space="preserve">http://slimages.macys.com/is/image/MCY/16384251 </v>
      </c>
    </row>
    <row r="56" spans="1:14" x14ac:dyDescent="0.25">
      <c r="A56" s="21" t="s">
        <v>4270</v>
      </c>
      <c r="B56" s="16" t="s">
        <v>4271</v>
      </c>
      <c r="C56" s="17">
        <v>1</v>
      </c>
      <c r="D56" s="22">
        <v>44</v>
      </c>
      <c r="E56" s="22">
        <v>44</v>
      </c>
      <c r="F56" s="17" t="s">
        <v>3298</v>
      </c>
      <c r="G56" s="16" t="s">
        <v>201</v>
      </c>
      <c r="H56" s="21" t="s">
        <v>286</v>
      </c>
      <c r="I56" s="16" t="s">
        <v>11</v>
      </c>
      <c r="J56" s="16" t="s">
        <v>142</v>
      </c>
      <c r="K56" s="16" t="s">
        <v>143</v>
      </c>
      <c r="L56" s="16"/>
      <c r="M56" s="16"/>
      <c r="N56" s="23" t="str">
        <f>HYPERLINK("http://slimages.macys.com/is/image/MCY/16384251 ")</f>
        <v xml:space="preserve">http://slimages.macys.com/is/image/MCY/16384251 </v>
      </c>
    </row>
    <row r="57" spans="1:14" x14ac:dyDescent="0.25">
      <c r="A57" s="21" t="s">
        <v>3339</v>
      </c>
      <c r="B57" s="16" t="s">
        <v>3340</v>
      </c>
      <c r="C57" s="17">
        <v>1</v>
      </c>
      <c r="D57" s="22">
        <v>44</v>
      </c>
      <c r="E57" s="22">
        <v>44</v>
      </c>
      <c r="F57" s="17" t="s">
        <v>681</v>
      </c>
      <c r="G57" s="16" t="s">
        <v>31</v>
      </c>
      <c r="H57" s="21" t="s">
        <v>601</v>
      </c>
      <c r="I57" s="16" t="s">
        <v>11</v>
      </c>
      <c r="J57" s="16" t="s">
        <v>142</v>
      </c>
      <c r="K57" s="16" t="s">
        <v>143</v>
      </c>
      <c r="L57" s="16" t="s">
        <v>111</v>
      </c>
      <c r="M57" s="16" t="s">
        <v>682</v>
      </c>
      <c r="N57" s="23" t="str">
        <f>HYPERLINK("http://slimages.macys.com/is/image/MCY/15693672 ")</f>
        <v xml:space="preserve">http://slimages.macys.com/is/image/MCY/15693672 </v>
      </c>
    </row>
    <row r="58" spans="1:14" x14ac:dyDescent="0.25">
      <c r="A58" s="21" t="s">
        <v>4272</v>
      </c>
      <c r="B58" s="16" t="s">
        <v>4273</v>
      </c>
      <c r="C58" s="17">
        <v>1</v>
      </c>
      <c r="D58" s="22">
        <v>44</v>
      </c>
      <c r="E58" s="22">
        <v>44</v>
      </c>
      <c r="F58" s="17" t="s">
        <v>679</v>
      </c>
      <c r="G58" s="16" t="s">
        <v>83</v>
      </c>
      <c r="H58" s="21" t="s">
        <v>55</v>
      </c>
      <c r="I58" s="16" t="s">
        <v>11</v>
      </c>
      <c r="J58" s="16" t="s">
        <v>142</v>
      </c>
      <c r="K58" s="16" t="s">
        <v>143</v>
      </c>
      <c r="L58" s="16" t="s">
        <v>111</v>
      </c>
      <c r="M58" s="16" t="s">
        <v>118</v>
      </c>
      <c r="N58" s="23" t="str">
        <f>HYPERLINK("http://slimages.macys.com/is/image/MCY/15121339 ")</f>
        <v xml:space="preserve">http://slimages.macys.com/is/image/MCY/15121339 </v>
      </c>
    </row>
    <row r="59" spans="1:14" x14ac:dyDescent="0.25">
      <c r="A59" s="21" t="s">
        <v>716</v>
      </c>
      <c r="B59" s="16" t="s">
        <v>717</v>
      </c>
      <c r="C59" s="17">
        <v>2</v>
      </c>
      <c r="D59" s="22">
        <v>11.67</v>
      </c>
      <c r="E59" s="22">
        <v>23.34</v>
      </c>
      <c r="F59" s="17" t="s">
        <v>718</v>
      </c>
      <c r="G59" s="16" t="s">
        <v>488</v>
      </c>
      <c r="H59" s="21" t="s">
        <v>55</v>
      </c>
      <c r="I59" s="16" t="s">
        <v>11</v>
      </c>
      <c r="J59" s="16" t="s">
        <v>142</v>
      </c>
      <c r="K59" s="16" t="s">
        <v>143</v>
      </c>
      <c r="L59" s="16"/>
      <c r="M59" s="16"/>
      <c r="N59" s="23" t="str">
        <f>HYPERLINK("http://slimages.macys.com/is/image/MCY/20530072 ")</f>
        <v xml:space="preserve">http://slimages.macys.com/is/image/MCY/20530072 </v>
      </c>
    </row>
    <row r="60" spans="1:14" x14ac:dyDescent="0.25">
      <c r="A60" s="21" t="s">
        <v>955</v>
      </c>
      <c r="B60" s="16" t="s">
        <v>956</v>
      </c>
      <c r="C60" s="17">
        <v>1</v>
      </c>
      <c r="D60" s="22">
        <v>11.67</v>
      </c>
      <c r="E60" s="22">
        <v>11.67</v>
      </c>
      <c r="F60" s="17" t="s">
        <v>193</v>
      </c>
      <c r="G60" s="16" t="s">
        <v>125</v>
      </c>
      <c r="H60" s="21" t="s">
        <v>32</v>
      </c>
      <c r="I60" s="16" t="s">
        <v>11</v>
      </c>
      <c r="J60" s="16" t="s">
        <v>142</v>
      </c>
      <c r="K60" s="16" t="s">
        <v>143</v>
      </c>
      <c r="L60" s="16" t="s">
        <v>111</v>
      </c>
      <c r="M60" s="16" t="s">
        <v>192</v>
      </c>
      <c r="N60" s="23" t="str">
        <f>HYPERLINK("http://slimages.macys.com/is/image/MCY/1734351 ")</f>
        <v xml:space="preserve">http://slimages.macys.com/is/image/MCY/1734351 </v>
      </c>
    </row>
    <row r="61" spans="1:14" x14ac:dyDescent="0.25">
      <c r="A61" s="21" t="s">
        <v>4274</v>
      </c>
      <c r="B61" s="16" t="s">
        <v>4275</v>
      </c>
      <c r="C61" s="17">
        <v>1</v>
      </c>
      <c r="D61" s="22">
        <v>35</v>
      </c>
      <c r="E61" s="22">
        <v>35</v>
      </c>
      <c r="F61" s="17">
        <v>910405</v>
      </c>
      <c r="G61" s="16" t="s">
        <v>102</v>
      </c>
      <c r="H61" s="21" t="s">
        <v>40</v>
      </c>
      <c r="I61" s="16" t="s">
        <v>11</v>
      </c>
      <c r="J61" s="16" t="s">
        <v>217</v>
      </c>
      <c r="K61" s="16" t="s">
        <v>221</v>
      </c>
      <c r="L61" s="16"/>
      <c r="M61" s="16"/>
      <c r="N61" s="23" t="str">
        <f>HYPERLINK("http://slimages.macys.com/is/image/MCY/19845971 ")</f>
        <v xml:space="preserve">http://slimages.macys.com/is/image/MCY/19845971 </v>
      </c>
    </row>
    <row r="62" spans="1:14" x14ac:dyDescent="0.25">
      <c r="A62" s="21" t="s">
        <v>1180</v>
      </c>
      <c r="B62" s="16" t="s">
        <v>1181</v>
      </c>
      <c r="C62" s="17">
        <v>1</v>
      </c>
      <c r="D62" s="22">
        <v>26.11</v>
      </c>
      <c r="E62" s="22">
        <v>26.11</v>
      </c>
      <c r="F62" s="17" t="s">
        <v>973</v>
      </c>
      <c r="G62" s="16" t="s">
        <v>107</v>
      </c>
      <c r="H62" s="21" t="s">
        <v>32</v>
      </c>
      <c r="I62" s="16" t="s">
        <v>11</v>
      </c>
      <c r="J62" s="16" t="s">
        <v>240</v>
      </c>
      <c r="K62" s="16" t="s">
        <v>241</v>
      </c>
      <c r="L62" s="16"/>
      <c r="M62" s="16"/>
      <c r="N62" s="23" t="str">
        <f>HYPERLINK("http://slimages.macys.com/is/image/MCY/19909631 ")</f>
        <v xml:space="preserve">http://slimages.macys.com/is/image/MCY/19909631 </v>
      </c>
    </row>
    <row r="63" spans="1:14" x14ac:dyDescent="0.25">
      <c r="A63" s="21" t="s">
        <v>4276</v>
      </c>
      <c r="B63" s="16" t="s">
        <v>4277</v>
      </c>
      <c r="C63" s="17">
        <v>10</v>
      </c>
      <c r="D63" s="22">
        <v>54</v>
      </c>
      <c r="E63" s="22">
        <v>540</v>
      </c>
      <c r="F63" s="17" t="s">
        <v>978</v>
      </c>
      <c r="G63" s="16" t="s">
        <v>349</v>
      </c>
      <c r="H63" s="21" t="s">
        <v>32</v>
      </c>
      <c r="I63" s="16" t="s">
        <v>11</v>
      </c>
      <c r="J63" s="16" t="s">
        <v>240</v>
      </c>
      <c r="K63" s="16" t="s">
        <v>241</v>
      </c>
      <c r="L63" s="16"/>
      <c r="M63" s="16"/>
      <c r="N63" s="23" t="str">
        <f>HYPERLINK("http://slimages.macys.com/is/image/MCY/19903944 ")</f>
        <v xml:space="preserve">http://slimages.macys.com/is/image/MCY/19903944 </v>
      </c>
    </row>
    <row r="64" spans="1:14" x14ac:dyDescent="0.25">
      <c r="A64" s="21" t="s">
        <v>4278</v>
      </c>
      <c r="B64" s="16" t="s">
        <v>4279</v>
      </c>
      <c r="C64" s="17">
        <v>1</v>
      </c>
      <c r="D64" s="22">
        <v>38</v>
      </c>
      <c r="E64" s="22">
        <v>38</v>
      </c>
      <c r="F64" s="17" t="s">
        <v>4280</v>
      </c>
      <c r="G64" s="16" t="s">
        <v>31</v>
      </c>
      <c r="H64" s="21"/>
      <c r="I64" s="16" t="s">
        <v>11</v>
      </c>
      <c r="J64" s="16" t="s">
        <v>240</v>
      </c>
      <c r="K64" s="16" t="s">
        <v>1390</v>
      </c>
      <c r="L64" s="16" t="s">
        <v>111</v>
      </c>
      <c r="M64" s="16" t="s">
        <v>985</v>
      </c>
      <c r="N64" s="23" t="str">
        <f>HYPERLINK("http://slimages.macys.com/is/image/MCY/15657090 ")</f>
        <v xml:space="preserve">http://slimages.macys.com/is/image/MCY/15657090 </v>
      </c>
    </row>
    <row r="65" spans="1:14" x14ac:dyDescent="0.25">
      <c r="A65" s="21" t="s">
        <v>4281</v>
      </c>
      <c r="B65" s="16" t="s">
        <v>4282</v>
      </c>
      <c r="C65" s="17">
        <v>1</v>
      </c>
      <c r="D65" s="22">
        <v>39</v>
      </c>
      <c r="E65" s="22">
        <v>39</v>
      </c>
      <c r="F65" s="17" t="s">
        <v>4283</v>
      </c>
      <c r="G65" s="16" t="s">
        <v>58</v>
      </c>
      <c r="H65" s="21" t="s">
        <v>255</v>
      </c>
      <c r="I65" s="16" t="s">
        <v>11</v>
      </c>
      <c r="J65" s="16" t="s">
        <v>240</v>
      </c>
      <c r="K65" s="16" t="s">
        <v>245</v>
      </c>
      <c r="L65" s="16"/>
      <c r="M65" s="16"/>
      <c r="N65" s="23" t="str">
        <f>HYPERLINK("http://slimages.macys.com/is/image/MCY/19632778 ")</f>
        <v xml:space="preserve">http://slimages.macys.com/is/image/MCY/19632778 </v>
      </c>
    </row>
    <row r="66" spans="1:14" x14ac:dyDescent="0.25">
      <c r="A66" s="21" t="s">
        <v>4284</v>
      </c>
      <c r="B66" s="16" t="s">
        <v>4285</v>
      </c>
      <c r="C66" s="17">
        <v>1</v>
      </c>
      <c r="D66" s="22">
        <v>39</v>
      </c>
      <c r="E66" s="22">
        <v>39</v>
      </c>
      <c r="F66" s="17" t="s">
        <v>3436</v>
      </c>
      <c r="G66" s="16" t="s">
        <v>31</v>
      </c>
      <c r="H66" s="21" t="s">
        <v>2301</v>
      </c>
      <c r="I66" s="16" t="s">
        <v>11</v>
      </c>
      <c r="J66" s="16" t="s">
        <v>240</v>
      </c>
      <c r="K66" s="16" t="s">
        <v>245</v>
      </c>
      <c r="L66" s="16"/>
      <c r="M66" s="16"/>
      <c r="N66" s="23" t="str">
        <f>HYPERLINK("http://slimages.macys.com/is/image/MCY/19632302 ")</f>
        <v xml:space="preserve">http://slimages.macys.com/is/image/MCY/19632302 </v>
      </c>
    </row>
    <row r="67" spans="1:14" x14ac:dyDescent="0.25">
      <c r="A67" s="21" t="s">
        <v>4286</v>
      </c>
      <c r="B67" s="16" t="s">
        <v>4287</v>
      </c>
      <c r="C67" s="17">
        <v>3</v>
      </c>
      <c r="D67" s="22">
        <v>32.99</v>
      </c>
      <c r="E67" s="22">
        <v>98.97</v>
      </c>
      <c r="F67" s="17">
        <v>100127287</v>
      </c>
      <c r="G67" s="16" t="s">
        <v>86</v>
      </c>
      <c r="H67" s="21" t="s">
        <v>27</v>
      </c>
      <c r="I67" s="16" t="s">
        <v>11</v>
      </c>
      <c r="J67" s="16" t="s">
        <v>260</v>
      </c>
      <c r="K67" s="16" t="s">
        <v>261</v>
      </c>
      <c r="L67" s="16"/>
      <c r="M67" s="16"/>
      <c r="N67" s="23" t="str">
        <f>HYPERLINK("http://slimages.macys.com/is/image/MCY/19163064 ")</f>
        <v xml:space="preserve">http://slimages.macys.com/is/image/MCY/19163064 </v>
      </c>
    </row>
    <row r="68" spans="1:14" x14ac:dyDescent="0.25">
      <c r="A68" s="21" t="s">
        <v>4288</v>
      </c>
      <c r="B68" s="16" t="s">
        <v>4289</v>
      </c>
      <c r="C68" s="17">
        <v>3</v>
      </c>
      <c r="D68" s="22">
        <v>26.11</v>
      </c>
      <c r="E68" s="22">
        <v>78.33</v>
      </c>
      <c r="F68" s="17">
        <v>100127392</v>
      </c>
      <c r="G68" s="16" t="s">
        <v>82</v>
      </c>
      <c r="H68" s="21" t="s">
        <v>40</v>
      </c>
      <c r="I68" s="16" t="s">
        <v>11</v>
      </c>
      <c r="J68" s="16" t="s">
        <v>260</v>
      </c>
      <c r="K68" s="16" t="s">
        <v>261</v>
      </c>
      <c r="L68" s="16"/>
      <c r="M68" s="16"/>
      <c r="N68" s="23" t="str">
        <f>HYPERLINK("http://slimages.macys.com/is/image/MCY/19163068 ")</f>
        <v xml:space="preserve">http://slimages.macys.com/is/image/MCY/19163068 </v>
      </c>
    </row>
    <row r="69" spans="1:14" x14ac:dyDescent="0.25">
      <c r="A69" s="21" t="s">
        <v>3783</v>
      </c>
      <c r="B69" s="16" t="s">
        <v>3784</v>
      </c>
      <c r="C69" s="17">
        <v>1</v>
      </c>
      <c r="D69" s="22">
        <v>39.99</v>
      </c>
      <c r="E69" s="22">
        <v>39.99</v>
      </c>
      <c r="F69" s="17" t="s">
        <v>3785</v>
      </c>
      <c r="G69" s="16" t="s">
        <v>122</v>
      </c>
      <c r="H69" s="21" t="s">
        <v>286</v>
      </c>
      <c r="I69" s="16" t="s">
        <v>11</v>
      </c>
      <c r="J69" s="16" t="s">
        <v>260</v>
      </c>
      <c r="K69" s="16" t="s">
        <v>261</v>
      </c>
      <c r="L69" s="16" t="s">
        <v>111</v>
      </c>
      <c r="M69" s="16" t="s">
        <v>415</v>
      </c>
      <c r="N69" s="23" t="str">
        <f>HYPERLINK("http://slimages.macys.com/is/image/MCY/14311719 ")</f>
        <v xml:space="preserve">http://slimages.macys.com/is/image/MCY/14311719 </v>
      </c>
    </row>
    <row r="70" spans="1:14" x14ac:dyDescent="0.25">
      <c r="A70" s="21" t="s">
        <v>992</v>
      </c>
      <c r="B70" s="16" t="s">
        <v>993</v>
      </c>
      <c r="C70" s="17">
        <v>1</v>
      </c>
      <c r="D70" s="22">
        <v>32.99</v>
      </c>
      <c r="E70" s="22">
        <v>32.99</v>
      </c>
      <c r="F70" s="17">
        <v>100070476</v>
      </c>
      <c r="G70" s="16" t="s">
        <v>122</v>
      </c>
      <c r="H70" s="21" t="s">
        <v>55</v>
      </c>
      <c r="I70" s="16" t="s">
        <v>11</v>
      </c>
      <c r="J70" s="16" t="s">
        <v>260</v>
      </c>
      <c r="K70" s="16" t="s">
        <v>261</v>
      </c>
      <c r="L70" s="16" t="s">
        <v>111</v>
      </c>
      <c r="M70" s="16" t="s">
        <v>991</v>
      </c>
      <c r="N70" s="23" t="str">
        <f>HYPERLINK("http://slimages.macys.com/is/image/MCY/13812455 ")</f>
        <v xml:space="preserve">http://slimages.macys.com/is/image/MCY/13812455 </v>
      </c>
    </row>
    <row r="71" spans="1:14" x14ac:dyDescent="0.25">
      <c r="A71" s="21" t="s">
        <v>4290</v>
      </c>
      <c r="B71" s="16" t="s">
        <v>4291</v>
      </c>
      <c r="C71" s="17">
        <v>1</v>
      </c>
      <c r="D71" s="22">
        <v>32.99</v>
      </c>
      <c r="E71" s="22">
        <v>32.99</v>
      </c>
      <c r="F71" s="17">
        <v>100070477</v>
      </c>
      <c r="G71" s="16" t="s">
        <v>37</v>
      </c>
      <c r="H71" s="21" t="s">
        <v>32</v>
      </c>
      <c r="I71" s="16" t="s">
        <v>11</v>
      </c>
      <c r="J71" s="16" t="s">
        <v>260</v>
      </c>
      <c r="K71" s="16" t="s">
        <v>261</v>
      </c>
      <c r="L71" s="16" t="s">
        <v>111</v>
      </c>
      <c r="M71" s="16" t="s">
        <v>136</v>
      </c>
      <c r="N71" s="23" t="str">
        <f>HYPERLINK("http://slimages.macys.com/is/image/MCY/14313628 ")</f>
        <v xml:space="preserve">http://slimages.macys.com/is/image/MCY/14313628 </v>
      </c>
    </row>
    <row r="72" spans="1:14" x14ac:dyDescent="0.25">
      <c r="A72" s="21" t="s">
        <v>3852</v>
      </c>
      <c r="B72" s="16" t="s">
        <v>3853</v>
      </c>
      <c r="C72" s="17">
        <v>1</v>
      </c>
      <c r="D72" s="22">
        <v>37.99</v>
      </c>
      <c r="E72" s="22">
        <v>37.99</v>
      </c>
      <c r="F72" s="17">
        <v>100127326</v>
      </c>
      <c r="G72" s="16" t="s">
        <v>37</v>
      </c>
      <c r="H72" s="21" t="s">
        <v>3316</v>
      </c>
      <c r="I72" s="16" t="s">
        <v>11</v>
      </c>
      <c r="J72" s="16" t="s">
        <v>260</v>
      </c>
      <c r="K72" s="16" t="s">
        <v>261</v>
      </c>
      <c r="L72" s="16"/>
      <c r="M72" s="16"/>
      <c r="N72" s="23" t="str">
        <f>HYPERLINK("http://slimages.macys.com/is/image/MCY/19163255 ")</f>
        <v xml:space="preserve">http://slimages.macys.com/is/image/MCY/19163255 </v>
      </c>
    </row>
    <row r="73" spans="1:14" x14ac:dyDescent="0.25">
      <c r="A73" s="21" t="s">
        <v>257</v>
      </c>
      <c r="B73" s="16" t="s">
        <v>258</v>
      </c>
      <c r="C73" s="17">
        <v>3</v>
      </c>
      <c r="D73" s="22">
        <v>37.99</v>
      </c>
      <c r="E73" s="22">
        <v>113.97</v>
      </c>
      <c r="F73" s="17">
        <v>100127326</v>
      </c>
      <c r="G73" s="16" t="s">
        <v>37</v>
      </c>
      <c r="H73" s="21" t="s">
        <v>259</v>
      </c>
      <c r="I73" s="16" t="s">
        <v>11</v>
      </c>
      <c r="J73" s="16" t="s">
        <v>260</v>
      </c>
      <c r="K73" s="16" t="s">
        <v>261</v>
      </c>
      <c r="L73" s="16"/>
      <c r="M73" s="16"/>
      <c r="N73" s="23" t="str">
        <f>HYPERLINK("http://slimages.macys.com/is/image/MCY/19163255 ")</f>
        <v xml:space="preserve">http://slimages.macys.com/is/image/MCY/19163255 </v>
      </c>
    </row>
    <row r="74" spans="1:14" x14ac:dyDescent="0.25">
      <c r="A74" s="21" t="s">
        <v>3850</v>
      </c>
      <c r="B74" s="16" t="s">
        <v>3851</v>
      </c>
      <c r="C74" s="17">
        <v>1</v>
      </c>
      <c r="D74" s="22">
        <v>37.99</v>
      </c>
      <c r="E74" s="22">
        <v>37.99</v>
      </c>
      <c r="F74" s="17">
        <v>100127326</v>
      </c>
      <c r="G74" s="16" t="s">
        <v>37</v>
      </c>
      <c r="H74" s="21" t="s">
        <v>262</v>
      </c>
      <c r="I74" s="16" t="s">
        <v>11</v>
      </c>
      <c r="J74" s="16" t="s">
        <v>260</v>
      </c>
      <c r="K74" s="16" t="s">
        <v>261</v>
      </c>
      <c r="L74" s="16"/>
      <c r="M74" s="16"/>
      <c r="N74" s="23" t="str">
        <f>HYPERLINK("http://slimages.macys.com/is/image/MCY/19163255 ")</f>
        <v xml:space="preserve">http://slimages.macys.com/is/image/MCY/19163255 </v>
      </c>
    </row>
    <row r="75" spans="1:14" x14ac:dyDescent="0.25">
      <c r="A75" s="21" t="s">
        <v>3722</v>
      </c>
      <c r="B75" s="16" t="s">
        <v>3723</v>
      </c>
      <c r="C75" s="17">
        <v>1</v>
      </c>
      <c r="D75" s="22">
        <v>32.99</v>
      </c>
      <c r="E75" s="22">
        <v>32.99</v>
      </c>
      <c r="F75" s="17">
        <v>100127327</v>
      </c>
      <c r="G75" s="16" t="s">
        <v>37</v>
      </c>
      <c r="H75" s="21" t="s">
        <v>55</v>
      </c>
      <c r="I75" s="16" t="s">
        <v>11</v>
      </c>
      <c r="J75" s="16" t="s">
        <v>260</v>
      </c>
      <c r="K75" s="16" t="s">
        <v>261</v>
      </c>
      <c r="L75" s="16"/>
      <c r="M75" s="16"/>
      <c r="N75" s="23" t="str">
        <f>HYPERLINK("http://slimages.macys.com/is/image/MCY/19163088 ")</f>
        <v xml:space="preserve">http://slimages.macys.com/is/image/MCY/19163088 </v>
      </c>
    </row>
    <row r="76" spans="1:14" x14ac:dyDescent="0.25">
      <c r="A76" s="21" t="s">
        <v>1434</v>
      </c>
      <c r="B76" s="16" t="s">
        <v>1435</v>
      </c>
      <c r="C76" s="17">
        <v>1</v>
      </c>
      <c r="D76" s="22">
        <v>32.99</v>
      </c>
      <c r="E76" s="22">
        <v>32.99</v>
      </c>
      <c r="F76" s="17">
        <v>100108563</v>
      </c>
      <c r="G76" s="16" t="s">
        <v>62</v>
      </c>
      <c r="H76" s="21" t="s">
        <v>32</v>
      </c>
      <c r="I76" s="16" t="s">
        <v>11</v>
      </c>
      <c r="J76" s="16" t="s">
        <v>260</v>
      </c>
      <c r="K76" s="16" t="s">
        <v>261</v>
      </c>
      <c r="L76" s="16"/>
      <c r="M76" s="16"/>
      <c r="N76" s="23" t="str">
        <f>HYPERLINK("http://slimages.macys.com/is/image/MCY/17881447 ")</f>
        <v xml:space="preserve">http://slimages.macys.com/is/image/MCY/17881447 </v>
      </c>
    </row>
    <row r="77" spans="1:14" x14ac:dyDescent="0.25">
      <c r="A77" s="21" t="s">
        <v>4292</v>
      </c>
      <c r="B77" s="16" t="s">
        <v>4293</v>
      </c>
      <c r="C77" s="17">
        <v>3</v>
      </c>
      <c r="D77" s="22">
        <v>26.99</v>
      </c>
      <c r="E77" s="22">
        <v>80.97</v>
      </c>
      <c r="F77" s="17">
        <v>100127531</v>
      </c>
      <c r="G77" s="16" t="s">
        <v>57</v>
      </c>
      <c r="H77" s="21" t="s">
        <v>3724</v>
      </c>
      <c r="I77" s="16" t="s">
        <v>11</v>
      </c>
      <c r="J77" s="16" t="s">
        <v>260</v>
      </c>
      <c r="K77" s="16" t="s">
        <v>996</v>
      </c>
      <c r="L77" s="16"/>
      <c r="M77" s="16"/>
      <c r="N77" s="23" t="str">
        <f>HYPERLINK("http://slimages.macys.com/is/image/MCY/19168123 ")</f>
        <v xml:space="preserve">http://slimages.macys.com/is/image/MCY/19168123 </v>
      </c>
    </row>
    <row r="78" spans="1:14" x14ac:dyDescent="0.25">
      <c r="A78" s="21" t="s">
        <v>4294</v>
      </c>
      <c r="B78" s="16" t="s">
        <v>4295</v>
      </c>
      <c r="C78" s="17">
        <v>1</v>
      </c>
      <c r="D78" s="22">
        <v>18.989999999999998</v>
      </c>
      <c r="E78" s="22">
        <v>18.989999999999998</v>
      </c>
      <c r="F78" s="17" t="s">
        <v>4296</v>
      </c>
      <c r="G78" s="16" t="s">
        <v>122</v>
      </c>
      <c r="H78" s="21" t="s">
        <v>561</v>
      </c>
      <c r="I78" s="16" t="s">
        <v>11</v>
      </c>
      <c r="J78" s="16" t="s">
        <v>260</v>
      </c>
      <c r="K78" s="16" t="s">
        <v>261</v>
      </c>
      <c r="L78" s="16" t="s">
        <v>111</v>
      </c>
      <c r="M78" s="16" t="s">
        <v>985</v>
      </c>
      <c r="N78" s="23" t="str">
        <f>HYPERLINK("http://slimages.macys.com/is/image/MCY/9977135 ")</f>
        <v xml:space="preserve">http://slimages.macys.com/is/image/MCY/9977135 </v>
      </c>
    </row>
    <row r="79" spans="1:14" x14ac:dyDescent="0.25">
      <c r="A79" s="21" t="s">
        <v>4297</v>
      </c>
      <c r="B79" s="16" t="s">
        <v>4298</v>
      </c>
      <c r="C79" s="17">
        <v>1</v>
      </c>
      <c r="D79" s="22">
        <v>24.99</v>
      </c>
      <c r="E79" s="22">
        <v>24.99</v>
      </c>
      <c r="F79" s="17">
        <v>100127532</v>
      </c>
      <c r="G79" s="16" t="s">
        <v>37</v>
      </c>
      <c r="H79" s="21" t="s">
        <v>561</v>
      </c>
      <c r="I79" s="16" t="s">
        <v>11</v>
      </c>
      <c r="J79" s="16" t="s">
        <v>260</v>
      </c>
      <c r="K79" s="16" t="s">
        <v>996</v>
      </c>
      <c r="L79" s="16"/>
      <c r="M79" s="16"/>
      <c r="N79" s="23" t="str">
        <f>HYPERLINK("http://slimages.macys.com/is/image/MCY/19585731 ")</f>
        <v xml:space="preserve">http://slimages.macys.com/is/image/MCY/19585731 </v>
      </c>
    </row>
    <row r="80" spans="1:14" x14ac:dyDescent="0.25">
      <c r="A80" s="21" t="s">
        <v>4299</v>
      </c>
      <c r="B80" s="16" t="s">
        <v>4300</v>
      </c>
      <c r="C80" s="17">
        <v>1</v>
      </c>
      <c r="D80" s="22">
        <v>9.99</v>
      </c>
      <c r="E80" s="22">
        <v>9.99</v>
      </c>
      <c r="F80" s="17">
        <v>100127549</v>
      </c>
      <c r="G80" s="16" t="s">
        <v>86</v>
      </c>
      <c r="H80" s="21"/>
      <c r="I80" s="16" t="s">
        <v>11</v>
      </c>
      <c r="J80" s="16" t="s">
        <v>260</v>
      </c>
      <c r="K80" s="16" t="s">
        <v>261</v>
      </c>
      <c r="L80" s="16"/>
      <c r="M80" s="16"/>
      <c r="N80" s="23" t="str">
        <f>HYPERLINK("http://slimages.macys.com/is/image/MCY/19168521 ")</f>
        <v xml:space="preserve">http://slimages.macys.com/is/image/MCY/19168521 </v>
      </c>
    </row>
    <row r="81" spans="1:14" x14ac:dyDescent="0.25">
      <c r="A81" s="21" t="s">
        <v>3728</v>
      </c>
      <c r="B81" s="16" t="s">
        <v>3729</v>
      </c>
      <c r="C81" s="17">
        <v>1</v>
      </c>
      <c r="D81" s="22">
        <v>49.99</v>
      </c>
      <c r="E81" s="22">
        <v>49.99</v>
      </c>
      <c r="F81" s="17" t="s">
        <v>3727</v>
      </c>
      <c r="G81" s="16" t="s">
        <v>122</v>
      </c>
      <c r="H81" s="21" t="s">
        <v>32</v>
      </c>
      <c r="I81" s="16" t="s">
        <v>11</v>
      </c>
      <c r="J81" s="16" t="s">
        <v>263</v>
      </c>
      <c r="K81" s="16" t="s">
        <v>264</v>
      </c>
      <c r="L81" s="16"/>
      <c r="M81" s="16"/>
      <c r="N81" s="23" t="str">
        <f>HYPERLINK("http://slimages.macys.com/is/image/MCY/20706226 ")</f>
        <v xml:space="preserve">http://slimages.macys.com/is/image/MCY/20706226 </v>
      </c>
    </row>
    <row r="82" spans="1:14" x14ac:dyDescent="0.25">
      <c r="A82" s="21" t="s">
        <v>3919</v>
      </c>
      <c r="B82" s="16" t="s">
        <v>3920</v>
      </c>
      <c r="C82" s="17">
        <v>2</v>
      </c>
      <c r="D82" s="22">
        <v>42.99</v>
      </c>
      <c r="E82" s="22">
        <v>85.98</v>
      </c>
      <c r="F82" s="17" t="s">
        <v>3870</v>
      </c>
      <c r="G82" s="16" t="s">
        <v>78</v>
      </c>
      <c r="H82" s="21" t="s">
        <v>27</v>
      </c>
      <c r="I82" s="16" t="s">
        <v>11</v>
      </c>
      <c r="J82" s="16" t="s">
        <v>263</v>
      </c>
      <c r="K82" s="16" t="s">
        <v>264</v>
      </c>
      <c r="L82" s="16"/>
      <c r="M82" s="16"/>
      <c r="N82" s="23" t="str">
        <f>HYPERLINK("http://slimages.macys.com/is/image/MCY/20194469 ")</f>
        <v xml:space="preserve">http://slimages.macys.com/is/image/MCY/20194469 </v>
      </c>
    </row>
    <row r="83" spans="1:14" x14ac:dyDescent="0.25">
      <c r="A83" s="21" t="s">
        <v>4108</v>
      </c>
      <c r="B83" s="16" t="s">
        <v>4109</v>
      </c>
      <c r="C83" s="17">
        <v>1</v>
      </c>
      <c r="D83" s="22">
        <v>39.99</v>
      </c>
      <c r="E83" s="22">
        <v>39.99</v>
      </c>
      <c r="F83" s="17" t="s">
        <v>733</v>
      </c>
      <c r="G83" s="16" t="s">
        <v>174</v>
      </c>
      <c r="H83" s="21" t="s">
        <v>47</v>
      </c>
      <c r="I83" s="16" t="s">
        <v>11</v>
      </c>
      <c r="J83" s="16" t="s">
        <v>263</v>
      </c>
      <c r="K83" s="16" t="s">
        <v>264</v>
      </c>
      <c r="L83" s="16"/>
      <c r="M83" s="16"/>
      <c r="N83" s="23" t="str">
        <f>HYPERLINK("http://slimages.macys.com/is/image/MCY/1128710 ")</f>
        <v xml:space="preserve">http://slimages.macys.com/is/image/MCY/1128710 </v>
      </c>
    </row>
    <row r="84" spans="1:14" x14ac:dyDescent="0.25">
      <c r="A84" s="21" t="s">
        <v>3594</v>
      </c>
      <c r="B84" s="16" t="s">
        <v>3595</v>
      </c>
      <c r="C84" s="17">
        <v>1</v>
      </c>
      <c r="D84" s="22">
        <v>39.99</v>
      </c>
      <c r="E84" s="22">
        <v>39.99</v>
      </c>
      <c r="F84" s="17" t="s">
        <v>733</v>
      </c>
      <c r="G84" s="16" t="s">
        <v>205</v>
      </c>
      <c r="H84" s="21" t="s">
        <v>87</v>
      </c>
      <c r="I84" s="16" t="s">
        <v>11</v>
      </c>
      <c r="J84" s="16" t="s">
        <v>263</v>
      </c>
      <c r="K84" s="16" t="s">
        <v>264</v>
      </c>
      <c r="L84" s="16" t="s">
        <v>111</v>
      </c>
      <c r="M84" s="16" t="s">
        <v>734</v>
      </c>
      <c r="N84" s="23" t="str">
        <f>HYPERLINK("http://slimages.macys.com/is/image/MCY/21143579 ")</f>
        <v xml:space="preserve">http://slimages.macys.com/is/image/MCY/21143579 </v>
      </c>
    </row>
    <row r="85" spans="1:14" x14ac:dyDescent="0.25">
      <c r="A85" s="21" t="s">
        <v>3739</v>
      </c>
      <c r="B85" s="16" t="s">
        <v>3740</v>
      </c>
      <c r="C85" s="17">
        <v>1</v>
      </c>
      <c r="D85" s="22">
        <v>34.99</v>
      </c>
      <c r="E85" s="22">
        <v>34.99</v>
      </c>
      <c r="F85" s="17" t="s">
        <v>3741</v>
      </c>
      <c r="G85" s="16" t="s">
        <v>104</v>
      </c>
      <c r="H85" s="21" t="s">
        <v>32</v>
      </c>
      <c r="I85" s="16" t="s">
        <v>11</v>
      </c>
      <c r="J85" s="16" t="s">
        <v>263</v>
      </c>
      <c r="K85" s="16" t="s">
        <v>264</v>
      </c>
      <c r="L85" s="16"/>
      <c r="M85" s="16"/>
      <c r="N85" s="23" t="str">
        <f>HYPERLINK("http://slimages.macys.com/is/image/MCY/18613652 ")</f>
        <v xml:space="preserve">http://slimages.macys.com/is/image/MCY/18613652 </v>
      </c>
    </row>
    <row r="86" spans="1:14" x14ac:dyDescent="0.25">
      <c r="A86" s="21" t="s">
        <v>2348</v>
      </c>
      <c r="B86" s="16" t="s">
        <v>2349</v>
      </c>
      <c r="C86" s="17">
        <v>1</v>
      </c>
      <c r="D86" s="22">
        <v>34.99</v>
      </c>
      <c r="E86" s="22">
        <v>34.99</v>
      </c>
      <c r="F86" s="17" t="s">
        <v>2350</v>
      </c>
      <c r="G86" s="16" t="s">
        <v>122</v>
      </c>
      <c r="H86" s="21" t="s">
        <v>40</v>
      </c>
      <c r="I86" s="16" t="s">
        <v>11</v>
      </c>
      <c r="J86" s="16" t="s">
        <v>263</v>
      </c>
      <c r="K86" s="16" t="s">
        <v>264</v>
      </c>
      <c r="L86" s="16"/>
      <c r="M86" s="16"/>
      <c r="N86" s="23" t="str">
        <f>HYPERLINK("http://slimages.macys.com/is/image/MCY/18999663 ")</f>
        <v xml:space="preserve">http://slimages.macys.com/is/image/MCY/18999663 </v>
      </c>
    </row>
    <row r="87" spans="1:14" x14ac:dyDescent="0.25">
      <c r="A87" s="21" t="s">
        <v>4301</v>
      </c>
      <c r="B87" s="16" t="s">
        <v>4302</v>
      </c>
      <c r="C87" s="17">
        <v>1</v>
      </c>
      <c r="D87" s="22">
        <v>32.99</v>
      </c>
      <c r="E87" s="22">
        <v>32.99</v>
      </c>
      <c r="F87" s="17" t="s">
        <v>4303</v>
      </c>
      <c r="G87" s="16" t="s">
        <v>37</v>
      </c>
      <c r="H87" s="21" t="s">
        <v>55</v>
      </c>
      <c r="I87" s="16" t="s">
        <v>11</v>
      </c>
      <c r="J87" s="16" t="s">
        <v>266</v>
      </c>
      <c r="K87" s="16" t="s">
        <v>267</v>
      </c>
      <c r="L87" s="16"/>
      <c r="M87" s="16"/>
      <c r="N87" s="23" t="str">
        <f>HYPERLINK("http://slimages.macys.com/is/image/MCY/19661699 ")</f>
        <v xml:space="preserve">http://slimages.macys.com/is/image/MCY/19661699 </v>
      </c>
    </row>
    <row r="88" spans="1:14" x14ac:dyDescent="0.25">
      <c r="A88" s="21" t="s">
        <v>2765</v>
      </c>
      <c r="B88" s="16" t="s">
        <v>2766</v>
      </c>
      <c r="C88" s="17">
        <v>2</v>
      </c>
      <c r="D88" s="22">
        <v>37.99</v>
      </c>
      <c r="E88" s="22">
        <v>75.98</v>
      </c>
      <c r="F88" s="17" t="s">
        <v>1000</v>
      </c>
      <c r="G88" s="16" t="s">
        <v>104</v>
      </c>
      <c r="H88" s="21" t="s">
        <v>55</v>
      </c>
      <c r="I88" s="16" t="s">
        <v>11</v>
      </c>
      <c r="J88" s="16" t="s">
        <v>266</v>
      </c>
      <c r="K88" s="16" t="s">
        <v>267</v>
      </c>
      <c r="L88" s="16"/>
      <c r="M88" s="16"/>
      <c r="N88" s="23" t="str">
        <f>HYPERLINK("http://slimages.macys.com/is/image/MCY/19714752 ")</f>
        <v xml:space="preserve">http://slimages.macys.com/is/image/MCY/19714752 </v>
      </c>
    </row>
    <row r="89" spans="1:14" x14ac:dyDescent="0.25">
      <c r="A89" s="21" t="s">
        <v>4304</v>
      </c>
      <c r="B89" s="16" t="s">
        <v>4305</v>
      </c>
      <c r="C89" s="17">
        <v>1</v>
      </c>
      <c r="D89" s="22">
        <v>37.99</v>
      </c>
      <c r="E89" s="22">
        <v>37.99</v>
      </c>
      <c r="F89" s="17" t="s">
        <v>3611</v>
      </c>
      <c r="G89" s="16" t="s">
        <v>122</v>
      </c>
      <c r="H89" s="21" t="s">
        <v>32</v>
      </c>
      <c r="I89" s="16" t="s">
        <v>11</v>
      </c>
      <c r="J89" s="16" t="s">
        <v>266</v>
      </c>
      <c r="K89" s="16" t="s">
        <v>267</v>
      </c>
      <c r="L89" s="16"/>
      <c r="M89" s="16"/>
      <c r="N89" s="23" t="str">
        <f>HYPERLINK("http://slimages.macys.com/is/image/MCY/20325522 ")</f>
        <v xml:space="preserve">http://slimages.macys.com/is/image/MCY/20325522 </v>
      </c>
    </row>
    <row r="90" spans="1:14" x14ac:dyDescent="0.25">
      <c r="A90" s="21" t="s">
        <v>3133</v>
      </c>
      <c r="B90" s="16" t="s">
        <v>3134</v>
      </c>
      <c r="C90" s="17">
        <v>1</v>
      </c>
      <c r="D90" s="22">
        <v>27.99</v>
      </c>
      <c r="E90" s="22">
        <v>27.99</v>
      </c>
      <c r="F90" s="17" t="s">
        <v>1001</v>
      </c>
      <c r="G90" s="16" t="s">
        <v>104</v>
      </c>
      <c r="H90" s="21" t="s">
        <v>27</v>
      </c>
      <c r="I90" s="16" t="s">
        <v>11</v>
      </c>
      <c r="J90" s="16" t="s">
        <v>266</v>
      </c>
      <c r="K90" s="16" t="s">
        <v>267</v>
      </c>
      <c r="L90" s="16"/>
      <c r="M90" s="16"/>
      <c r="N90" s="23" t="str">
        <f>HYPERLINK("http://slimages.macys.com/is/image/MCY/20128837 ")</f>
        <v xml:space="preserve">http://slimages.macys.com/is/image/MCY/20128837 </v>
      </c>
    </row>
    <row r="91" spans="1:14" x14ac:dyDescent="0.25">
      <c r="A91" s="21" t="s">
        <v>1681</v>
      </c>
      <c r="B91" s="16" t="s">
        <v>4306</v>
      </c>
      <c r="C91" s="17">
        <v>1</v>
      </c>
      <c r="D91" s="22">
        <v>37.99</v>
      </c>
      <c r="E91" s="22">
        <v>37.99</v>
      </c>
      <c r="F91" s="17" t="s">
        <v>1222</v>
      </c>
      <c r="G91" s="16" t="s">
        <v>189</v>
      </c>
      <c r="H91" s="21" t="s">
        <v>87</v>
      </c>
      <c r="I91" s="16" t="s">
        <v>11</v>
      </c>
      <c r="J91" s="16" t="s">
        <v>266</v>
      </c>
      <c r="K91" s="16" t="s">
        <v>267</v>
      </c>
      <c r="L91" s="16"/>
      <c r="M91" s="16"/>
      <c r="N91" s="23" t="str">
        <f>HYPERLINK("http://slimages.macys.com/is/image/MCY/21080160 ")</f>
        <v xml:space="preserve">http://slimages.macys.com/is/image/MCY/21080160 </v>
      </c>
    </row>
    <row r="92" spans="1:14" x14ac:dyDescent="0.25">
      <c r="A92" s="21" t="s">
        <v>4307</v>
      </c>
      <c r="B92" s="16" t="s">
        <v>4308</v>
      </c>
      <c r="C92" s="17">
        <v>1</v>
      </c>
      <c r="D92" s="22">
        <v>24.99</v>
      </c>
      <c r="E92" s="22">
        <v>24.99</v>
      </c>
      <c r="F92" s="17" t="s">
        <v>4309</v>
      </c>
      <c r="G92" s="16" t="s">
        <v>174</v>
      </c>
      <c r="H92" s="21" t="s">
        <v>47</v>
      </c>
      <c r="I92" s="16" t="s">
        <v>11</v>
      </c>
      <c r="J92" s="16" t="s">
        <v>266</v>
      </c>
      <c r="K92" s="16" t="s">
        <v>267</v>
      </c>
      <c r="L92" s="16"/>
      <c r="M92" s="16"/>
      <c r="N92" s="23" t="str">
        <f>HYPERLINK("http://slimages.macys.com/is/image/MCY/19360846 ")</f>
        <v xml:space="preserve">http://slimages.macys.com/is/image/MCY/19360846 </v>
      </c>
    </row>
    <row r="93" spans="1:14" x14ac:dyDescent="0.25">
      <c r="A93" s="21" t="s">
        <v>4310</v>
      </c>
      <c r="B93" s="16" t="s">
        <v>4311</v>
      </c>
      <c r="C93" s="17">
        <v>1</v>
      </c>
      <c r="D93" s="22">
        <v>24.99</v>
      </c>
      <c r="E93" s="22">
        <v>24.99</v>
      </c>
      <c r="F93" s="17" t="s">
        <v>4309</v>
      </c>
      <c r="G93" s="16" t="s">
        <v>174</v>
      </c>
      <c r="H93" s="21" t="s">
        <v>27</v>
      </c>
      <c r="I93" s="16" t="s">
        <v>11</v>
      </c>
      <c r="J93" s="16" t="s">
        <v>266</v>
      </c>
      <c r="K93" s="16" t="s">
        <v>267</v>
      </c>
      <c r="L93" s="16"/>
      <c r="M93" s="16"/>
      <c r="N93" s="23" t="str">
        <f>HYPERLINK("http://slimages.macys.com/is/image/MCY/19360846 ")</f>
        <v xml:space="preserve">http://slimages.macys.com/is/image/MCY/19360846 </v>
      </c>
    </row>
    <row r="94" spans="1:14" x14ac:dyDescent="0.25">
      <c r="A94" s="21" t="s">
        <v>1449</v>
      </c>
      <c r="B94" s="16" t="s">
        <v>1450</v>
      </c>
      <c r="C94" s="17">
        <v>1</v>
      </c>
      <c r="D94" s="22">
        <v>32.99</v>
      </c>
      <c r="E94" s="22">
        <v>32.99</v>
      </c>
      <c r="F94" s="17" t="s">
        <v>1451</v>
      </c>
      <c r="G94" s="16" t="s">
        <v>31</v>
      </c>
      <c r="H94" s="21" t="s">
        <v>55</v>
      </c>
      <c r="I94" s="16" t="s">
        <v>11</v>
      </c>
      <c r="J94" s="16" t="s">
        <v>266</v>
      </c>
      <c r="K94" s="16" t="s">
        <v>267</v>
      </c>
      <c r="L94" s="16"/>
      <c r="M94" s="16"/>
      <c r="N94" s="23" t="str">
        <f>HYPERLINK("http://slimages.macys.com/is/image/MCY/19287197 ")</f>
        <v xml:space="preserve">http://slimages.macys.com/is/image/MCY/19287197 </v>
      </c>
    </row>
    <row r="95" spans="1:14" x14ac:dyDescent="0.25">
      <c r="A95" s="21" t="s">
        <v>4312</v>
      </c>
      <c r="B95" s="16" t="s">
        <v>4313</v>
      </c>
      <c r="C95" s="17">
        <v>1</v>
      </c>
      <c r="D95" s="22">
        <v>24.99</v>
      </c>
      <c r="E95" s="22">
        <v>24.99</v>
      </c>
      <c r="F95" s="17" t="s">
        <v>4314</v>
      </c>
      <c r="G95" s="16" t="s">
        <v>37</v>
      </c>
      <c r="H95" s="21" t="s">
        <v>27</v>
      </c>
      <c r="I95" s="16" t="s">
        <v>11</v>
      </c>
      <c r="J95" s="16" t="s">
        <v>266</v>
      </c>
      <c r="K95" s="16" t="s">
        <v>267</v>
      </c>
      <c r="L95" s="16"/>
      <c r="M95" s="16"/>
      <c r="N95" s="23" t="str">
        <f>HYPERLINK("http://slimages.macys.com/is/image/MCY/18021419 ")</f>
        <v xml:space="preserve">http://slimages.macys.com/is/image/MCY/18021419 </v>
      </c>
    </row>
    <row r="96" spans="1:14" x14ac:dyDescent="0.25">
      <c r="A96" s="21" t="s">
        <v>4315</v>
      </c>
      <c r="B96" s="16" t="s">
        <v>4316</v>
      </c>
      <c r="C96" s="17">
        <v>1</v>
      </c>
      <c r="D96" s="22">
        <v>24.99</v>
      </c>
      <c r="E96" s="22">
        <v>24.99</v>
      </c>
      <c r="F96" s="17" t="s">
        <v>4317</v>
      </c>
      <c r="G96" s="16" t="s">
        <v>78</v>
      </c>
      <c r="H96" s="21" t="s">
        <v>27</v>
      </c>
      <c r="I96" s="16" t="s">
        <v>11</v>
      </c>
      <c r="J96" s="16" t="s">
        <v>266</v>
      </c>
      <c r="K96" s="16" t="s">
        <v>267</v>
      </c>
      <c r="L96" s="16"/>
      <c r="M96" s="16"/>
      <c r="N96" s="23" t="str">
        <f>HYPERLINK("http://slimages.macys.com/is/image/MCY/18021419 ")</f>
        <v xml:space="preserve">http://slimages.macys.com/is/image/MCY/18021419 </v>
      </c>
    </row>
    <row r="97" spans="1:14" x14ac:dyDescent="0.25">
      <c r="A97" s="21" t="s">
        <v>304</v>
      </c>
      <c r="B97" s="16" t="s">
        <v>305</v>
      </c>
      <c r="C97" s="17">
        <v>1</v>
      </c>
      <c r="D97" s="22">
        <v>23.99</v>
      </c>
      <c r="E97" s="22">
        <v>23.99</v>
      </c>
      <c r="F97" s="17" t="s">
        <v>306</v>
      </c>
      <c r="G97" s="16" t="s">
        <v>82</v>
      </c>
      <c r="H97" s="21" t="s">
        <v>40</v>
      </c>
      <c r="I97" s="16" t="s">
        <v>11</v>
      </c>
      <c r="J97" s="16" t="s">
        <v>266</v>
      </c>
      <c r="K97" s="16" t="s">
        <v>267</v>
      </c>
      <c r="L97" s="16"/>
      <c r="M97" s="16"/>
      <c r="N97" s="23" t="str">
        <f>HYPERLINK("http://slimages.macys.com/is/image/MCY/18531891 ")</f>
        <v xml:space="preserve">http://slimages.macys.com/is/image/MCY/18531891 </v>
      </c>
    </row>
    <row r="98" spans="1:14" x14ac:dyDescent="0.25">
      <c r="A98" s="21" t="s">
        <v>3384</v>
      </c>
      <c r="B98" s="16" t="s">
        <v>3385</v>
      </c>
      <c r="C98" s="17">
        <v>1</v>
      </c>
      <c r="D98" s="22">
        <v>14.99</v>
      </c>
      <c r="E98" s="22">
        <v>14.99</v>
      </c>
      <c r="F98" s="17" t="s">
        <v>307</v>
      </c>
      <c r="G98" s="16" t="s">
        <v>107</v>
      </c>
      <c r="H98" s="21" t="s">
        <v>40</v>
      </c>
      <c r="I98" s="16" t="s">
        <v>11</v>
      </c>
      <c r="J98" s="16" t="s">
        <v>266</v>
      </c>
      <c r="K98" s="16" t="s">
        <v>267</v>
      </c>
      <c r="L98" s="16"/>
      <c r="M98" s="16"/>
      <c r="N98" s="23" t="str">
        <f>HYPERLINK("http://slimages.macys.com/is/image/MCY/19885992 ")</f>
        <v xml:space="preserve">http://slimages.macys.com/is/image/MCY/19885992 </v>
      </c>
    </row>
    <row r="99" spans="1:14" x14ac:dyDescent="0.25">
      <c r="A99" s="21" t="s">
        <v>310</v>
      </c>
      <c r="B99" s="16" t="s">
        <v>311</v>
      </c>
      <c r="C99" s="17">
        <v>1</v>
      </c>
      <c r="D99" s="22">
        <v>14.99</v>
      </c>
      <c r="E99" s="22">
        <v>14.99</v>
      </c>
      <c r="F99" s="17" t="s">
        <v>307</v>
      </c>
      <c r="G99" s="16" t="s">
        <v>135</v>
      </c>
      <c r="H99" s="21" t="s">
        <v>47</v>
      </c>
      <c r="I99" s="16" t="s">
        <v>11</v>
      </c>
      <c r="J99" s="16" t="s">
        <v>266</v>
      </c>
      <c r="K99" s="16" t="s">
        <v>267</v>
      </c>
      <c r="L99" s="16"/>
      <c r="M99" s="16"/>
      <c r="N99" s="23" t="str">
        <f>HYPERLINK("http://slimages.macys.com/is/image/MCY/19658910 ")</f>
        <v xml:space="preserve">http://slimages.macys.com/is/image/MCY/19658910 </v>
      </c>
    </row>
    <row r="100" spans="1:14" x14ac:dyDescent="0.25">
      <c r="A100" s="21" t="s">
        <v>3621</v>
      </c>
      <c r="B100" s="16" t="s">
        <v>3622</v>
      </c>
      <c r="C100" s="17">
        <v>2</v>
      </c>
      <c r="D100" s="22">
        <v>17.989999999999998</v>
      </c>
      <c r="E100" s="22">
        <v>35.979999999999997</v>
      </c>
      <c r="F100" s="17" t="s">
        <v>3623</v>
      </c>
      <c r="G100" s="16" t="s">
        <v>202</v>
      </c>
      <c r="H100" s="21" t="s">
        <v>47</v>
      </c>
      <c r="I100" s="16" t="s">
        <v>11</v>
      </c>
      <c r="J100" s="16" t="s">
        <v>266</v>
      </c>
      <c r="K100" s="16" t="s">
        <v>267</v>
      </c>
      <c r="L100" s="16"/>
      <c r="M100" s="16"/>
      <c r="N100" s="23" t="str">
        <f>HYPERLINK("http://slimages.macys.com/is/image/MCY/19278844 ")</f>
        <v xml:space="preserve">http://slimages.macys.com/is/image/MCY/19278844 </v>
      </c>
    </row>
    <row r="101" spans="1:14" x14ac:dyDescent="0.25">
      <c r="A101" s="21" t="s">
        <v>3935</v>
      </c>
      <c r="B101" s="16" t="s">
        <v>3936</v>
      </c>
      <c r="C101" s="17">
        <v>1</v>
      </c>
      <c r="D101" s="22">
        <v>17.989999999999998</v>
      </c>
      <c r="E101" s="22">
        <v>17.989999999999998</v>
      </c>
      <c r="F101" s="17" t="s">
        <v>3623</v>
      </c>
      <c r="G101" s="16" t="s">
        <v>202</v>
      </c>
      <c r="H101" s="21" t="s">
        <v>32</v>
      </c>
      <c r="I101" s="16" t="s">
        <v>11</v>
      </c>
      <c r="J101" s="16" t="s">
        <v>266</v>
      </c>
      <c r="K101" s="16" t="s">
        <v>267</v>
      </c>
      <c r="L101" s="16"/>
      <c r="M101" s="16"/>
      <c r="N101" s="23" t="str">
        <f>HYPERLINK("http://slimages.macys.com/is/image/MCY/19278844 ")</f>
        <v xml:space="preserve">http://slimages.macys.com/is/image/MCY/19278844 </v>
      </c>
    </row>
    <row r="102" spans="1:14" x14ac:dyDescent="0.25">
      <c r="A102" s="21" t="s">
        <v>1809</v>
      </c>
      <c r="B102" s="16" t="s">
        <v>1810</v>
      </c>
      <c r="C102" s="17">
        <v>1</v>
      </c>
      <c r="D102" s="22">
        <v>16.989999999999998</v>
      </c>
      <c r="E102" s="22">
        <v>16.989999999999998</v>
      </c>
      <c r="F102" s="17" t="s">
        <v>1806</v>
      </c>
      <c r="G102" s="16" t="s">
        <v>76</v>
      </c>
      <c r="H102" s="21" t="s">
        <v>87</v>
      </c>
      <c r="I102" s="16" t="s">
        <v>11</v>
      </c>
      <c r="J102" s="16" t="s">
        <v>266</v>
      </c>
      <c r="K102" s="16" t="s">
        <v>267</v>
      </c>
      <c r="L102" s="16"/>
      <c r="M102" s="16"/>
      <c r="N102" s="23" t="str">
        <f>HYPERLINK("http://slimages.macys.com/is/image/MCY/20325138 ")</f>
        <v xml:space="preserve">http://slimages.macys.com/is/image/MCY/20325138 </v>
      </c>
    </row>
    <row r="103" spans="1:14" x14ac:dyDescent="0.25">
      <c r="A103" s="21" t="s">
        <v>3633</v>
      </c>
      <c r="B103" s="16" t="s">
        <v>3634</v>
      </c>
      <c r="C103" s="17">
        <v>1</v>
      </c>
      <c r="D103" s="22">
        <v>16.989999999999998</v>
      </c>
      <c r="E103" s="22">
        <v>16.989999999999998</v>
      </c>
      <c r="F103" s="17" t="s">
        <v>1806</v>
      </c>
      <c r="G103" s="16" t="s">
        <v>76</v>
      </c>
      <c r="H103" s="21" t="s">
        <v>27</v>
      </c>
      <c r="I103" s="16" t="s">
        <v>11</v>
      </c>
      <c r="J103" s="16" t="s">
        <v>266</v>
      </c>
      <c r="K103" s="16" t="s">
        <v>267</v>
      </c>
      <c r="L103" s="16"/>
      <c r="M103" s="16"/>
      <c r="N103" s="23" t="str">
        <f>HYPERLINK("http://slimages.macys.com/is/image/MCY/20324880 ")</f>
        <v xml:space="preserve">http://slimages.macys.com/is/image/MCY/20324880 </v>
      </c>
    </row>
    <row r="104" spans="1:14" x14ac:dyDescent="0.25">
      <c r="A104" s="21" t="s">
        <v>3631</v>
      </c>
      <c r="B104" s="16" t="s">
        <v>3632</v>
      </c>
      <c r="C104" s="17">
        <v>1</v>
      </c>
      <c r="D104" s="22">
        <v>16.989999999999998</v>
      </c>
      <c r="E104" s="22">
        <v>16.989999999999998</v>
      </c>
      <c r="F104" s="17" t="s">
        <v>1806</v>
      </c>
      <c r="G104" s="16" t="s">
        <v>76</v>
      </c>
      <c r="H104" s="21" t="s">
        <v>40</v>
      </c>
      <c r="I104" s="16" t="s">
        <v>11</v>
      </c>
      <c r="J104" s="16" t="s">
        <v>266</v>
      </c>
      <c r="K104" s="16" t="s">
        <v>267</v>
      </c>
      <c r="L104" s="16"/>
      <c r="M104" s="16"/>
      <c r="N104" s="23" t="str">
        <f>HYPERLINK("http://slimages.macys.com/is/image/MCY/20324880 ")</f>
        <v xml:space="preserve">http://slimages.macys.com/is/image/MCY/20324880 </v>
      </c>
    </row>
    <row r="105" spans="1:14" x14ac:dyDescent="0.25">
      <c r="A105" s="21" t="s">
        <v>3390</v>
      </c>
      <c r="B105" s="16" t="s">
        <v>3391</v>
      </c>
      <c r="C105" s="17">
        <v>2</v>
      </c>
      <c r="D105" s="22">
        <v>16.989999999999998</v>
      </c>
      <c r="E105" s="22">
        <v>33.979999999999997</v>
      </c>
      <c r="F105" s="17" t="s">
        <v>1806</v>
      </c>
      <c r="G105" s="16" t="s">
        <v>26</v>
      </c>
      <c r="H105" s="21" t="s">
        <v>32</v>
      </c>
      <c r="I105" s="16" t="s">
        <v>11</v>
      </c>
      <c r="J105" s="16" t="s">
        <v>266</v>
      </c>
      <c r="K105" s="16" t="s">
        <v>267</v>
      </c>
      <c r="L105" s="16"/>
      <c r="M105" s="16"/>
      <c r="N105" s="23" t="str">
        <f>HYPERLINK("http://slimages.macys.com/is/image/MCY/20324880 ")</f>
        <v xml:space="preserve">http://slimages.macys.com/is/image/MCY/20324880 </v>
      </c>
    </row>
    <row r="106" spans="1:14" x14ac:dyDescent="0.25">
      <c r="A106" s="21" t="s">
        <v>3400</v>
      </c>
      <c r="B106" s="16" t="s">
        <v>3401</v>
      </c>
      <c r="C106" s="17">
        <v>1</v>
      </c>
      <c r="D106" s="22">
        <v>16.989999999999998</v>
      </c>
      <c r="E106" s="22">
        <v>16.989999999999998</v>
      </c>
      <c r="F106" s="17" t="s">
        <v>1806</v>
      </c>
      <c r="G106" s="16" t="s">
        <v>76</v>
      </c>
      <c r="H106" s="21" t="s">
        <v>55</v>
      </c>
      <c r="I106" s="16" t="s">
        <v>11</v>
      </c>
      <c r="J106" s="16" t="s">
        <v>266</v>
      </c>
      <c r="K106" s="16" t="s">
        <v>267</v>
      </c>
      <c r="L106" s="16"/>
      <c r="M106" s="16"/>
      <c r="N106" s="23" t="str">
        <f>HYPERLINK("http://slimages.macys.com/is/image/MCY/20324880 ")</f>
        <v xml:space="preserve">http://slimages.macys.com/is/image/MCY/20324880 </v>
      </c>
    </row>
    <row r="107" spans="1:14" x14ac:dyDescent="0.25">
      <c r="A107" s="21" t="s">
        <v>3388</v>
      </c>
      <c r="B107" s="16" t="s">
        <v>3389</v>
      </c>
      <c r="C107" s="17">
        <v>1</v>
      </c>
      <c r="D107" s="22">
        <v>16.989999999999998</v>
      </c>
      <c r="E107" s="22">
        <v>16.989999999999998</v>
      </c>
      <c r="F107" s="17" t="s">
        <v>1806</v>
      </c>
      <c r="G107" s="16" t="s">
        <v>85</v>
      </c>
      <c r="H107" s="21" t="s">
        <v>87</v>
      </c>
      <c r="I107" s="16" t="s">
        <v>11</v>
      </c>
      <c r="J107" s="16" t="s">
        <v>266</v>
      </c>
      <c r="K107" s="16" t="s">
        <v>267</v>
      </c>
      <c r="L107" s="16"/>
      <c r="M107" s="16"/>
      <c r="N107" s="23" t="str">
        <f>HYPERLINK("http://slimages.macys.com/is/image/MCY/1061178 ")</f>
        <v xml:space="preserve">http://slimages.macys.com/is/image/MCY/1061178 </v>
      </c>
    </row>
    <row r="108" spans="1:14" x14ac:dyDescent="0.25">
      <c r="A108" s="21" t="s">
        <v>3637</v>
      </c>
      <c r="B108" s="16" t="s">
        <v>3638</v>
      </c>
      <c r="C108" s="17">
        <v>1</v>
      </c>
      <c r="D108" s="22">
        <v>16.989999999999998</v>
      </c>
      <c r="E108" s="22">
        <v>16.989999999999998</v>
      </c>
      <c r="F108" s="17" t="s">
        <v>3639</v>
      </c>
      <c r="G108" s="16" t="s">
        <v>83</v>
      </c>
      <c r="H108" s="21" t="s">
        <v>27</v>
      </c>
      <c r="I108" s="16" t="s">
        <v>11</v>
      </c>
      <c r="J108" s="16" t="s">
        <v>266</v>
      </c>
      <c r="K108" s="16" t="s">
        <v>267</v>
      </c>
      <c r="L108" s="16"/>
      <c r="M108" s="16"/>
      <c r="N108" s="23" t="str">
        <f>HYPERLINK("http://slimages.macys.com/is/image/MCY/20584798 ")</f>
        <v xml:space="preserve">http://slimages.macys.com/is/image/MCY/20584798 </v>
      </c>
    </row>
    <row r="109" spans="1:14" x14ac:dyDescent="0.25">
      <c r="A109" s="21" t="s">
        <v>3754</v>
      </c>
      <c r="B109" s="16" t="s">
        <v>3755</v>
      </c>
      <c r="C109" s="17">
        <v>3</v>
      </c>
      <c r="D109" s="22">
        <v>16.989999999999998</v>
      </c>
      <c r="E109" s="22">
        <v>50.97</v>
      </c>
      <c r="F109" s="17" t="s">
        <v>2443</v>
      </c>
      <c r="G109" s="16" t="s">
        <v>78</v>
      </c>
      <c r="H109" s="21" t="s">
        <v>40</v>
      </c>
      <c r="I109" s="16" t="s">
        <v>11</v>
      </c>
      <c r="J109" s="16" t="s">
        <v>266</v>
      </c>
      <c r="K109" s="16" t="s">
        <v>267</v>
      </c>
      <c r="L109" s="16"/>
      <c r="M109" s="16"/>
      <c r="N109" s="23" t="str">
        <f>HYPERLINK("http://slimages.macys.com/is/image/MCY/19638966 ")</f>
        <v xml:space="preserve">http://slimages.macys.com/is/image/MCY/19638966 </v>
      </c>
    </row>
    <row r="110" spans="1:14" x14ac:dyDescent="0.25">
      <c r="A110" s="21" t="s">
        <v>4318</v>
      </c>
      <c r="B110" s="16" t="s">
        <v>4319</v>
      </c>
      <c r="C110" s="17">
        <v>1</v>
      </c>
      <c r="D110" s="22">
        <v>24.99</v>
      </c>
      <c r="E110" s="22">
        <v>24.99</v>
      </c>
      <c r="F110" s="17" t="s">
        <v>4320</v>
      </c>
      <c r="G110" s="16" t="s">
        <v>62</v>
      </c>
      <c r="H110" s="21" t="s">
        <v>149</v>
      </c>
      <c r="I110" s="16" t="s">
        <v>11</v>
      </c>
      <c r="J110" s="16" t="s">
        <v>266</v>
      </c>
      <c r="K110" s="16" t="s">
        <v>267</v>
      </c>
      <c r="L110" s="16" t="s">
        <v>111</v>
      </c>
      <c r="M110" s="16" t="s">
        <v>303</v>
      </c>
      <c r="N110" s="23" t="str">
        <f>HYPERLINK("http://slimages.macys.com/is/image/MCY/11456516 ")</f>
        <v xml:space="preserve">http://slimages.macys.com/is/image/MCY/11456516 </v>
      </c>
    </row>
    <row r="111" spans="1:14" x14ac:dyDescent="0.25">
      <c r="A111" s="21" t="s">
        <v>1686</v>
      </c>
      <c r="B111" s="16" t="s">
        <v>2793</v>
      </c>
      <c r="C111" s="17">
        <v>5</v>
      </c>
      <c r="D111" s="22">
        <v>54</v>
      </c>
      <c r="E111" s="22">
        <v>270</v>
      </c>
      <c r="F111" s="17" t="s">
        <v>1467</v>
      </c>
      <c r="G111" s="16" t="s">
        <v>102</v>
      </c>
      <c r="H111" s="21" t="s">
        <v>227</v>
      </c>
      <c r="I111" s="16" t="s">
        <v>11</v>
      </c>
      <c r="J111" s="16" t="s">
        <v>343</v>
      </c>
      <c r="K111" s="16" t="s">
        <v>1468</v>
      </c>
      <c r="L111" s="16"/>
      <c r="M111" s="16"/>
      <c r="N111" s="23" t="str">
        <f>HYPERLINK("http://slimages.macys.com/is/image/MCY/20226394 ")</f>
        <v xml:space="preserve">http://slimages.macys.com/is/image/MCY/20226394 </v>
      </c>
    </row>
    <row r="112" spans="1:14" x14ac:dyDescent="0.25">
      <c r="A112" s="21" t="s">
        <v>4321</v>
      </c>
      <c r="B112" s="16" t="s">
        <v>4322</v>
      </c>
      <c r="C112" s="17">
        <v>1</v>
      </c>
      <c r="D112" s="22">
        <v>64</v>
      </c>
      <c r="E112" s="22">
        <v>64</v>
      </c>
      <c r="F112" s="17" t="s">
        <v>3200</v>
      </c>
      <c r="G112" s="16" t="s">
        <v>37</v>
      </c>
      <c r="H112" s="21" t="s">
        <v>55</v>
      </c>
      <c r="I112" s="16" t="s">
        <v>11</v>
      </c>
      <c r="J112" s="16" t="s">
        <v>343</v>
      </c>
      <c r="K112" s="16" t="s">
        <v>358</v>
      </c>
      <c r="L112" s="16"/>
      <c r="M112" s="16"/>
      <c r="N112" s="23" t="str">
        <f>HYPERLINK("http://slimages.macys.com/is/image/MCY/17786149 ")</f>
        <v xml:space="preserve">http://slimages.macys.com/is/image/MCY/17786149 </v>
      </c>
    </row>
    <row r="113" spans="1:14" x14ac:dyDescent="0.25">
      <c r="A113" s="21" t="s">
        <v>4323</v>
      </c>
      <c r="B113" s="16" t="s">
        <v>4324</v>
      </c>
      <c r="C113" s="17">
        <v>1</v>
      </c>
      <c r="D113" s="22">
        <v>38</v>
      </c>
      <c r="E113" s="22">
        <v>38</v>
      </c>
      <c r="F113" s="17" t="s">
        <v>4325</v>
      </c>
      <c r="G113" s="16" t="s">
        <v>31</v>
      </c>
      <c r="H113" s="21" t="s">
        <v>231</v>
      </c>
      <c r="I113" s="16" t="s">
        <v>11</v>
      </c>
      <c r="J113" s="16" t="s">
        <v>343</v>
      </c>
      <c r="K113" s="16" t="s">
        <v>344</v>
      </c>
      <c r="L113" s="16"/>
      <c r="M113" s="16"/>
      <c r="N113" s="23" t="str">
        <f>HYPERLINK("http://slimages.macys.com/is/image/MCY/18860855 ")</f>
        <v xml:space="preserve">http://slimages.macys.com/is/image/MCY/18860855 </v>
      </c>
    </row>
    <row r="114" spans="1:14" x14ac:dyDescent="0.25">
      <c r="A114" s="21" t="s">
        <v>4326</v>
      </c>
      <c r="B114" s="16" t="s">
        <v>4327</v>
      </c>
      <c r="C114" s="17">
        <v>1</v>
      </c>
      <c r="D114" s="22">
        <v>38</v>
      </c>
      <c r="E114" s="22">
        <v>38</v>
      </c>
      <c r="F114" s="17" t="s">
        <v>4325</v>
      </c>
      <c r="G114" s="16" t="s">
        <v>31</v>
      </c>
      <c r="H114" s="21" t="s">
        <v>227</v>
      </c>
      <c r="I114" s="16" t="s">
        <v>11</v>
      </c>
      <c r="J114" s="16" t="s">
        <v>343</v>
      </c>
      <c r="K114" s="16" t="s">
        <v>344</v>
      </c>
      <c r="L114" s="16"/>
      <c r="M114" s="16"/>
      <c r="N114" s="23" t="str">
        <f>HYPERLINK("http://slimages.macys.com/is/image/MCY/16792532 ")</f>
        <v xml:space="preserve">http://slimages.macys.com/is/image/MCY/16792532 </v>
      </c>
    </row>
    <row r="115" spans="1:14" x14ac:dyDescent="0.25">
      <c r="A115" s="21" t="s">
        <v>3469</v>
      </c>
      <c r="B115" s="16" t="s">
        <v>3470</v>
      </c>
      <c r="C115" s="17">
        <v>1</v>
      </c>
      <c r="D115" s="22">
        <v>34</v>
      </c>
      <c r="E115" s="22">
        <v>34</v>
      </c>
      <c r="F115" s="17" t="s">
        <v>771</v>
      </c>
      <c r="G115" s="16" t="s">
        <v>122</v>
      </c>
      <c r="H115" s="21" t="s">
        <v>40</v>
      </c>
      <c r="I115" s="16" t="s">
        <v>11</v>
      </c>
      <c r="J115" s="16" t="s">
        <v>343</v>
      </c>
      <c r="K115" s="16" t="s">
        <v>366</v>
      </c>
      <c r="L115" s="16"/>
      <c r="M115" s="16"/>
      <c r="N115" s="23" t="str">
        <f>HYPERLINK("http://slimages.macys.com/is/image/MCY/19734579 ")</f>
        <v xml:space="preserve">http://slimages.macys.com/is/image/MCY/19734579 </v>
      </c>
    </row>
    <row r="116" spans="1:14" x14ac:dyDescent="0.25">
      <c r="A116" s="21" t="s">
        <v>4328</v>
      </c>
      <c r="B116" s="16" t="s">
        <v>4329</v>
      </c>
      <c r="C116" s="17">
        <v>5</v>
      </c>
      <c r="D116" s="22">
        <v>26.11</v>
      </c>
      <c r="E116" s="22">
        <v>130.55000000000001</v>
      </c>
      <c r="F116" s="17" t="s">
        <v>1252</v>
      </c>
      <c r="G116" s="16" t="s">
        <v>124</v>
      </c>
      <c r="H116" s="21" t="s">
        <v>32</v>
      </c>
      <c r="I116" s="16" t="s">
        <v>11</v>
      </c>
      <c r="J116" s="16" t="s">
        <v>343</v>
      </c>
      <c r="K116" s="16" t="s">
        <v>366</v>
      </c>
      <c r="L116" s="16"/>
      <c r="M116" s="16"/>
      <c r="N116" s="23" t="str">
        <f>HYPERLINK("http://slimages.macys.com/is/image/MCY/19673056 ")</f>
        <v xml:space="preserve">http://slimages.macys.com/is/image/MCY/19673056 </v>
      </c>
    </row>
    <row r="117" spans="1:14" x14ac:dyDescent="0.25">
      <c r="A117" s="21" t="s">
        <v>367</v>
      </c>
      <c r="B117" s="16" t="s">
        <v>368</v>
      </c>
      <c r="C117" s="17">
        <v>1</v>
      </c>
      <c r="D117" s="22">
        <v>34</v>
      </c>
      <c r="E117" s="22">
        <v>34</v>
      </c>
      <c r="F117" s="17" t="s">
        <v>365</v>
      </c>
      <c r="G117" s="16" t="s">
        <v>31</v>
      </c>
      <c r="H117" s="21" t="s">
        <v>40</v>
      </c>
      <c r="I117" s="16" t="s">
        <v>11</v>
      </c>
      <c r="J117" s="16" t="s">
        <v>343</v>
      </c>
      <c r="K117" s="16" t="s">
        <v>366</v>
      </c>
      <c r="L117" s="16"/>
      <c r="M117" s="16"/>
      <c r="N117" s="23" t="str">
        <f>HYPERLINK("http://slimages.macys.com/is/image/MCY/20072217 ")</f>
        <v xml:space="preserve">http://slimages.macys.com/is/image/MCY/20072217 </v>
      </c>
    </row>
    <row r="118" spans="1:14" x14ac:dyDescent="0.25">
      <c r="A118" s="21" t="s">
        <v>4330</v>
      </c>
      <c r="B118" s="16" t="s">
        <v>4331</v>
      </c>
      <c r="C118" s="17">
        <v>1</v>
      </c>
      <c r="D118" s="22">
        <v>26.11</v>
      </c>
      <c r="E118" s="22">
        <v>26.11</v>
      </c>
      <c r="F118" s="17" t="s">
        <v>1035</v>
      </c>
      <c r="G118" s="16" t="s">
        <v>31</v>
      </c>
      <c r="H118" s="21" t="s">
        <v>27</v>
      </c>
      <c r="I118" s="16" t="s">
        <v>11</v>
      </c>
      <c r="J118" s="16" t="s">
        <v>343</v>
      </c>
      <c r="K118" s="16" t="s">
        <v>366</v>
      </c>
      <c r="L118" s="16"/>
      <c r="M118" s="16"/>
      <c r="N118" s="23" t="str">
        <f>HYPERLINK("http://slimages.macys.com/is/image/MCY/19734527 ")</f>
        <v xml:space="preserve">http://slimages.macys.com/is/image/MCY/19734527 </v>
      </c>
    </row>
    <row r="119" spans="1:14" x14ac:dyDescent="0.25">
      <c r="A119" s="21" t="s">
        <v>3309</v>
      </c>
      <c r="B119" s="16" t="s">
        <v>3310</v>
      </c>
      <c r="C119" s="17">
        <v>3</v>
      </c>
      <c r="D119" s="22">
        <v>34</v>
      </c>
      <c r="E119" s="22">
        <v>102</v>
      </c>
      <c r="F119" s="17" t="s">
        <v>1486</v>
      </c>
      <c r="G119" s="16" t="s">
        <v>225</v>
      </c>
      <c r="H119" s="21" t="s">
        <v>27</v>
      </c>
      <c r="I119" s="16" t="s">
        <v>11</v>
      </c>
      <c r="J119" s="16" t="s">
        <v>343</v>
      </c>
      <c r="K119" s="16" t="s">
        <v>366</v>
      </c>
      <c r="L119" s="16"/>
      <c r="M119" s="16"/>
      <c r="N119" s="23" t="str">
        <f>HYPERLINK("http://slimages.macys.com/is/image/MCY/19673104 ")</f>
        <v xml:space="preserve">http://slimages.macys.com/is/image/MCY/19673104 </v>
      </c>
    </row>
    <row r="120" spans="1:14" x14ac:dyDescent="0.25">
      <c r="A120" s="21" t="s">
        <v>4332</v>
      </c>
      <c r="B120" s="16" t="s">
        <v>4333</v>
      </c>
      <c r="C120" s="17">
        <v>3</v>
      </c>
      <c r="D120" s="22">
        <v>34</v>
      </c>
      <c r="E120" s="22">
        <v>102</v>
      </c>
      <c r="F120" s="17" t="s">
        <v>1486</v>
      </c>
      <c r="G120" s="16" t="s">
        <v>86</v>
      </c>
      <c r="H120" s="21" t="s">
        <v>32</v>
      </c>
      <c r="I120" s="16" t="s">
        <v>11</v>
      </c>
      <c r="J120" s="16" t="s">
        <v>343</v>
      </c>
      <c r="K120" s="16" t="s">
        <v>366</v>
      </c>
      <c r="L120" s="16"/>
      <c r="M120" s="16"/>
      <c r="N120" s="23" t="str">
        <f>HYPERLINK("http://slimages.macys.com/is/image/MCY/19673104 ")</f>
        <v xml:space="preserve">http://slimages.macys.com/is/image/MCY/19673104 </v>
      </c>
    </row>
    <row r="121" spans="1:14" x14ac:dyDescent="0.25">
      <c r="A121" s="21" t="s">
        <v>2940</v>
      </c>
      <c r="B121" s="16" t="s">
        <v>2941</v>
      </c>
      <c r="C121" s="17">
        <v>1</v>
      </c>
      <c r="D121" s="22">
        <v>24</v>
      </c>
      <c r="E121" s="22">
        <v>24</v>
      </c>
      <c r="F121" s="17">
        <v>900581</v>
      </c>
      <c r="G121" s="16" t="s">
        <v>349</v>
      </c>
      <c r="H121" s="21" t="s">
        <v>32</v>
      </c>
      <c r="I121" s="16" t="s">
        <v>11</v>
      </c>
      <c r="J121" s="16" t="s">
        <v>343</v>
      </c>
      <c r="K121" s="16" t="s">
        <v>354</v>
      </c>
      <c r="L121" s="16"/>
      <c r="M121" s="16"/>
      <c r="N121" s="23" t="str">
        <f>HYPERLINK("http://slimages.macys.com/is/image/MCY/18827308 ")</f>
        <v xml:space="preserve">http://slimages.macys.com/is/image/MCY/18827308 </v>
      </c>
    </row>
    <row r="122" spans="1:14" x14ac:dyDescent="0.25">
      <c r="A122" s="21" t="s">
        <v>1696</v>
      </c>
      <c r="B122" s="16" t="s">
        <v>2563</v>
      </c>
      <c r="C122" s="17">
        <v>1</v>
      </c>
      <c r="D122" s="22">
        <v>31.5</v>
      </c>
      <c r="E122" s="22">
        <v>31.5</v>
      </c>
      <c r="F122" s="17" t="s">
        <v>387</v>
      </c>
      <c r="G122" s="16" t="s">
        <v>85</v>
      </c>
      <c r="H122" s="21" t="s">
        <v>55</v>
      </c>
      <c r="I122" s="16" t="s">
        <v>11</v>
      </c>
      <c r="J122" s="16" t="s">
        <v>343</v>
      </c>
      <c r="K122" s="16" t="s">
        <v>354</v>
      </c>
      <c r="L122" s="16"/>
      <c r="M122" s="16"/>
      <c r="N122" s="23" t="str">
        <f>HYPERLINK("http://slimages.macys.com/is/image/MCY/19743013 ")</f>
        <v xml:space="preserve">http://slimages.macys.com/is/image/MCY/19743013 </v>
      </c>
    </row>
    <row r="123" spans="1:14" x14ac:dyDescent="0.25">
      <c r="A123" s="21" t="s">
        <v>2554</v>
      </c>
      <c r="B123" s="16" t="s">
        <v>2548</v>
      </c>
      <c r="C123" s="17">
        <v>1</v>
      </c>
      <c r="D123" s="22">
        <v>31.5</v>
      </c>
      <c r="E123" s="22">
        <v>31.5</v>
      </c>
      <c r="F123" s="17">
        <v>900262</v>
      </c>
      <c r="G123" s="16"/>
      <c r="H123" s="21" t="s">
        <v>40</v>
      </c>
      <c r="I123" s="16" t="s">
        <v>11</v>
      </c>
      <c r="J123" s="16" t="s">
        <v>343</v>
      </c>
      <c r="K123" s="16" t="s">
        <v>354</v>
      </c>
      <c r="L123" s="16"/>
      <c r="M123" s="16"/>
      <c r="N123" s="23" t="str">
        <f>HYPERLINK("http://slimages.macys.com/is/image/MCY/17455028 ")</f>
        <v xml:space="preserve">http://slimages.macys.com/is/image/MCY/17455028 </v>
      </c>
    </row>
    <row r="124" spans="1:14" x14ac:dyDescent="0.25">
      <c r="A124" s="21" t="s">
        <v>4334</v>
      </c>
      <c r="B124" s="16" t="s">
        <v>4335</v>
      </c>
      <c r="C124" s="17">
        <v>1</v>
      </c>
      <c r="D124" s="22">
        <v>31.5</v>
      </c>
      <c r="E124" s="22">
        <v>31.5</v>
      </c>
      <c r="F124" s="17" t="s">
        <v>387</v>
      </c>
      <c r="G124" s="16" t="s">
        <v>85</v>
      </c>
      <c r="H124" s="21" t="s">
        <v>27</v>
      </c>
      <c r="I124" s="16" t="s">
        <v>11</v>
      </c>
      <c r="J124" s="16" t="s">
        <v>343</v>
      </c>
      <c r="K124" s="16" t="s">
        <v>354</v>
      </c>
      <c r="L124" s="16"/>
      <c r="M124" s="16"/>
      <c r="N124" s="23" t="str">
        <f>HYPERLINK("http://slimages.macys.com/is/image/MCY/19743013 ")</f>
        <v xml:space="preserve">http://slimages.macys.com/is/image/MCY/19743013 </v>
      </c>
    </row>
    <row r="125" spans="1:14" x14ac:dyDescent="0.25">
      <c r="A125" s="21" t="s">
        <v>4336</v>
      </c>
      <c r="B125" s="16" t="s">
        <v>4337</v>
      </c>
      <c r="C125" s="17">
        <v>1</v>
      </c>
      <c r="D125" s="22">
        <v>27.6</v>
      </c>
      <c r="E125" s="22">
        <v>27.6</v>
      </c>
      <c r="F125" s="17" t="s">
        <v>1045</v>
      </c>
      <c r="G125" s="16" t="s">
        <v>163</v>
      </c>
      <c r="H125" s="21" t="s">
        <v>40</v>
      </c>
      <c r="I125" s="16" t="s">
        <v>11</v>
      </c>
      <c r="J125" s="16" t="s">
        <v>343</v>
      </c>
      <c r="K125" s="16" t="s">
        <v>379</v>
      </c>
      <c r="L125" s="16"/>
      <c r="M125" s="16"/>
      <c r="N125" s="23" t="str">
        <f>HYPERLINK("http://slimages.macys.com/is/image/MCY/20376353 ")</f>
        <v xml:space="preserve">http://slimages.macys.com/is/image/MCY/20376353 </v>
      </c>
    </row>
    <row r="126" spans="1:14" x14ac:dyDescent="0.25">
      <c r="A126" s="21" t="s">
        <v>4338</v>
      </c>
      <c r="B126" s="16" t="s">
        <v>4339</v>
      </c>
      <c r="C126" s="17">
        <v>1</v>
      </c>
      <c r="D126" s="22">
        <v>38</v>
      </c>
      <c r="E126" s="22">
        <v>38</v>
      </c>
      <c r="F126" s="17">
        <v>900531</v>
      </c>
      <c r="G126" s="16" t="s">
        <v>31</v>
      </c>
      <c r="H126" s="21"/>
      <c r="I126" s="16" t="s">
        <v>11</v>
      </c>
      <c r="J126" s="16" t="s">
        <v>343</v>
      </c>
      <c r="K126" s="16" t="s">
        <v>354</v>
      </c>
      <c r="L126" s="16"/>
      <c r="M126" s="16"/>
      <c r="N126" s="23" t="str">
        <f>HYPERLINK("http://slimages.macys.com/is/image/MCY/18913853 ")</f>
        <v xml:space="preserve">http://slimages.macys.com/is/image/MCY/18913853 </v>
      </c>
    </row>
    <row r="127" spans="1:14" x14ac:dyDescent="0.25">
      <c r="A127" s="21" t="s">
        <v>4340</v>
      </c>
      <c r="B127" s="16" t="s">
        <v>4341</v>
      </c>
      <c r="C127" s="17">
        <v>1</v>
      </c>
      <c r="D127" s="22">
        <v>26</v>
      </c>
      <c r="E127" s="22">
        <v>26</v>
      </c>
      <c r="F127" s="17">
        <v>740121</v>
      </c>
      <c r="G127" s="16" t="s">
        <v>85</v>
      </c>
      <c r="H127" s="21" t="s">
        <v>40</v>
      </c>
      <c r="I127" s="16" t="s">
        <v>11</v>
      </c>
      <c r="J127" s="16" t="s">
        <v>343</v>
      </c>
      <c r="K127" s="16" t="s">
        <v>354</v>
      </c>
      <c r="L127" s="16"/>
      <c r="M127" s="16"/>
      <c r="N127" s="23" t="str">
        <f>HYPERLINK("http://slimages.macys.com/is/image/MCY/19385286 ")</f>
        <v xml:space="preserve">http://slimages.macys.com/is/image/MCY/19385286 </v>
      </c>
    </row>
    <row r="128" spans="1:14" x14ac:dyDescent="0.25">
      <c r="A128" s="21" t="s">
        <v>4342</v>
      </c>
      <c r="B128" s="16" t="s">
        <v>4343</v>
      </c>
      <c r="C128" s="17">
        <v>2</v>
      </c>
      <c r="D128" s="22">
        <v>33.6</v>
      </c>
      <c r="E128" s="22">
        <v>67.2</v>
      </c>
      <c r="F128" s="17" t="s">
        <v>1294</v>
      </c>
      <c r="G128" s="16" t="s">
        <v>102</v>
      </c>
      <c r="H128" s="21" t="s">
        <v>40</v>
      </c>
      <c r="I128" s="16" t="s">
        <v>11</v>
      </c>
      <c r="J128" s="16" t="s">
        <v>343</v>
      </c>
      <c r="K128" s="16" t="s">
        <v>379</v>
      </c>
      <c r="L128" s="16"/>
      <c r="M128" s="16"/>
      <c r="N128" s="23" t="str">
        <f>HYPERLINK("http://slimages.macys.com/is/image/MCY/20700564 ")</f>
        <v xml:space="preserve">http://slimages.macys.com/is/image/MCY/20700564 </v>
      </c>
    </row>
    <row r="129" spans="1:14" x14ac:dyDescent="0.25">
      <c r="A129" s="21" t="s">
        <v>4344</v>
      </c>
      <c r="B129" s="16" t="s">
        <v>4345</v>
      </c>
      <c r="C129" s="17">
        <v>2</v>
      </c>
      <c r="D129" s="22">
        <v>25</v>
      </c>
      <c r="E129" s="22">
        <v>50</v>
      </c>
      <c r="F129" s="17" t="s">
        <v>773</v>
      </c>
      <c r="G129" s="16" t="s">
        <v>102</v>
      </c>
      <c r="H129" s="21" t="s">
        <v>32</v>
      </c>
      <c r="I129" s="16" t="s">
        <v>11</v>
      </c>
      <c r="J129" s="16" t="s">
        <v>343</v>
      </c>
      <c r="K129" s="16" t="s">
        <v>379</v>
      </c>
      <c r="L129" s="16"/>
      <c r="M129" s="16"/>
      <c r="N129" s="23" t="str">
        <f>HYPERLINK("http://slimages.macys.com/is/image/MCY/20185665 ")</f>
        <v xml:space="preserve">http://slimages.macys.com/is/image/MCY/20185665 </v>
      </c>
    </row>
    <row r="130" spans="1:14" x14ac:dyDescent="0.25">
      <c r="A130" s="21" t="s">
        <v>4346</v>
      </c>
      <c r="B130" s="16" t="s">
        <v>4347</v>
      </c>
      <c r="C130" s="17">
        <v>1</v>
      </c>
      <c r="D130" s="22">
        <v>33.6</v>
      </c>
      <c r="E130" s="22">
        <v>33.6</v>
      </c>
      <c r="F130" s="17" t="s">
        <v>1294</v>
      </c>
      <c r="G130" s="16" t="s">
        <v>102</v>
      </c>
      <c r="H130" s="21" t="s">
        <v>32</v>
      </c>
      <c r="I130" s="16" t="s">
        <v>11</v>
      </c>
      <c r="J130" s="16" t="s">
        <v>343</v>
      </c>
      <c r="K130" s="16" t="s">
        <v>379</v>
      </c>
      <c r="L130" s="16"/>
      <c r="M130" s="16"/>
      <c r="N130" s="23" t="str">
        <f>HYPERLINK("http://slimages.macys.com/is/image/MCY/20700564 ")</f>
        <v xml:space="preserve">http://slimages.macys.com/is/image/MCY/20700564 </v>
      </c>
    </row>
    <row r="131" spans="1:14" x14ac:dyDescent="0.25">
      <c r="A131" s="21" t="s">
        <v>1520</v>
      </c>
      <c r="B131" s="16" t="s">
        <v>1521</v>
      </c>
      <c r="C131" s="17">
        <v>1</v>
      </c>
      <c r="D131" s="22">
        <v>28.8</v>
      </c>
      <c r="E131" s="22">
        <v>28.8</v>
      </c>
      <c r="F131" s="17" t="s">
        <v>1297</v>
      </c>
      <c r="G131" s="16" t="s">
        <v>378</v>
      </c>
      <c r="H131" s="21" t="s">
        <v>55</v>
      </c>
      <c r="I131" s="16" t="s">
        <v>11</v>
      </c>
      <c r="J131" s="16" t="s">
        <v>343</v>
      </c>
      <c r="K131" s="16" t="s">
        <v>393</v>
      </c>
      <c r="L131" s="16"/>
      <c r="M131" s="16"/>
      <c r="N131" s="23" t="str">
        <f>HYPERLINK("http://slimages.macys.com/is/image/MCY/20576871 ")</f>
        <v xml:space="preserve">http://slimages.macys.com/is/image/MCY/20576871 </v>
      </c>
    </row>
    <row r="132" spans="1:14" x14ac:dyDescent="0.25">
      <c r="A132" s="21" t="s">
        <v>1299</v>
      </c>
      <c r="B132" s="16" t="s">
        <v>1300</v>
      </c>
      <c r="C132" s="17">
        <v>1</v>
      </c>
      <c r="D132" s="22">
        <v>25.2</v>
      </c>
      <c r="E132" s="22">
        <v>25.2</v>
      </c>
      <c r="F132" s="17" t="s">
        <v>1301</v>
      </c>
      <c r="G132" s="16" t="s">
        <v>135</v>
      </c>
      <c r="H132" s="21" t="s">
        <v>55</v>
      </c>
      <c r="I132" s="16" t="s">
        <v>11</v>
      </c>
      <c r="J132" s="16" t="s">
        <v>343</v>
      </c>
      <c r="K132" s="16" t="s">
        <v>379</v>
      </c>
      <c r="L132" s="16"/>
      <c r="M132" s="16"/>
      <c r="N132" s="23" t="str">
        <f>HYPERLINK("http://slimages.macys.com/is/image/MCY/20376290 ")</f>
        <v xml:space="preserve">http://slimages.macys.com/is/image/MCY/20376290 </v>
      </c>
    </row>
    <row r="133" spans="1:14" x14ac:dyDescent="0.25">
      <c r="A133" s="21" t="s">
        <v>4348</v>
      </c>
      <c r="B133" s="16" t="s">
        <v>4349</v>
      </c>
      <c r="C133" s="17">
        <v>1</v>
      </c>
      <c r="D133" s="22">
        <v>25.2</v>
      </c>
      <c r="E133" s="22">
        <v>25.2</v>
      </c>
      <c r="F133" s="17" t="s">
        <v>403</v>
      </c>
      <c r="G133" s="16" t="s">
        <v>205</v>
      </c>
      <c r="H133" s="21" t="s">
        <v>40</v>
      </c>
      <c r="I133" s="16" t="s">
        <v>11</v>
      </c>
      <c r="J133" s="16" t="s">
        <v>343</v>
      </c>
      <c r="K133" s="16" t="s">
        <v>393</v>
      </c>
      <c r="L133" s="16"/>
      <c r="M133" s="16"/>
      <c r="N133" s="23" t="str">
        <f>HYPERLINK("http://slimages.macys.com/is/image/MCY/20238102 ")</f>
        <v xml:space="preserve">http://slimages.macys.com/is/image/MCY/20238102 </v>
      </c>
    </row>
    <row r="134" spans="1:14" x14ac:dyDescent="0.25">
      <c r="A134" s="21" t="s">
        <v>4350</v>
      </c>
      <c r="B134" s="16" t="s">
        <v>4351</v>
      </c>
      <c r="C134" s="17">
        <v>1</v>
      </c>
      <c r="D134" s="22">
        <v>25.2</v>
      </c>
      <c r="E134" s="22">
        <v>25.2</v>
      </c>
      <c r="F134" s="17" t="s">
        <v>406</v>
      </c>
      <c r="G134" s="16" t="s">
        <v>137</v>
      </c>
      <c r="H134" s="21" t="s">
        <v>27</v>
      </c>
      <c r="I134" s="16" t="s">
        <v>11</v>
      </c>
      <c r="J134" s="16" t="s">
        <v>343</v>
      </c>
      <c r="K134" s="16" t="s">
        <v>379</v>
      </c>
      <c r="L134" s="16"/>
      <c r="M134" s="16"/>
      <c r="N134" s="23" t="str">
        <f>HYPERLINK("http://slimages.macys.com/is/image/MCY/19388373 ")</f>
        <v xml:space="preserve">http://slimages.macys.com/is/image/MCY/19388373 </v>
      </c>
    </row>
    <row r="135" spans="1:14" x14ac:dyDescent="0.25">
      <c r="A135" s="21" t="s">
        <v>1538</v>
      </c>
      <c r="B135" s="16" t="s">
        <v>1539</v>
      </c>
      <c r="C135" s="17">
        <v>1</v>
      </c>
      <c r="D135" s="22">
        <v>25.2</v>
      </c>
      <c r="E135" s="22">
        <v>25.2</v>
      </c>
      <c r="F135" s="17" t="s">
        <v>406</v>
      </c>
      <c r="G135" s="16" t="s">
        <v>44</v>
      </c>
      <c r="H135" s="21" t="s">
        <v>32</v>
      </c>
      <c r="I135" s="16" t="s">
        <v>11</v>
      </c>
      <c r="J135" s="16" t="s">
        <v>343</v>
      </c>
      <c r="K135" s="16" t="s">
        <v>379</v>
      </c>
      <c r="L135" s="16"/>
      <c r="M135" s="16"/>
      <c r="N135" s="23" t="str">
        <f>HYPERLINK("http://slimages.macys.com/is/image/MCY/19331234 ")</f>
        <v xml:space="preserve">http://slimages.macys.com/is/image/MCY/19331234 </v>
      </c>
    </row>
    <row r="136" spans="1:14" x14ac:dyDescent="0.25">
      <c r="A136" s="21" t="s">
        <v>2809</v>
      </c>
      <c r="B136" s="16" t="s">
        <v>2810</v>
      </c>
      <c r="C136" s="17">
        <v>1</v>
      </c>
      <c r="D136" s="22">
        <v>25.2</v>
      </c>
      <c r="E136" s="22">
        <v>25.2</v>
      </c>
      <c r="F136" s="17" t="s">
        <v>1301</v>
      </c>
      <c r="G136" s="16" t="s">
        <v>135</v>
      </c>
      <c r="H136" s="21" t="s">
        <v>27</v>
      </c>
      <c r="I136" s="16" t="s">
        <v>11</v>
      </c>
      <c r="J136" s="16" t="s">
        <v>343</v>
      </c>
      <c r="K136" s="16" t="s">
        <v>379</v>
      </c>
      <c r="L136" s="16"/>
      <c r="M136" s="16"/>
      <c r="N136" s="23" t="str">
        <f>HYPERLINK("http://slimages.macys.com/is/image/MCY/20376290 ")</f>
        <v xml:space="preserve">http://slimages.macys.com/is/image/MCY/20376290 </v>
      </c>
    </row>
    <row r="137" spans="1:14" x14ac:dyDescent="0.25">
      <c r="A137" s="21" t="s">
        <v>2627</v>
      </c>
      <c r="B137" s="16" t="s">
        <v>2628</v>
      </c>
      <c r="C137" s="17">
        <v>1</v>
      </c>
      <c r="D137" s="22">
        <v>26.11</v>
      </c>
      <c r="E137" s="22">
        <v>26.11</v>
      </c>
      <c r="F137" s="17" t="s">
        <v>406</v>
      </c>
      <c r="G137" s="16" t="s">
        <v>137</v>
      </c>
      <c r="H137" s="21" t="s">
        <v>55</v>
      </c>
      <c r="I137" s="16" t="s">
        <v>11</v>
      </c>
      <c r="J137" s="16" t="s">
        <v>343</v>
      </c>
      <c r="K137" s="16" t="s">
        <v>379</v>
      </c>
      <c r="L137" s="16"/>
      <c r="M137" s="16"/>
      <c r="N137" s="23" t="str">
        <f>HYPERLINK("http://slimages.macys.com/is/image/MCY/20376290 ")</f>
        <v xml:space="preserve">http://slimages.macys.com/is/image/MCY/20376290 </v>
      </c>
    </row>
    <row r="138" spans="1:14" x14ac:dyDescent="0.25">
      <c r="A138" s="21" t="s">
        <v>4352</v>
      </c>
      <c r="B138" s="16" t="s">
        <v>4353</v>
      </c>
      <c r="C138" s="17">
        <v>1</v>
      </c>
      <c r="D138" s="22">
        <v>18</v>
      </c>
      <c r="E138" s="22">
        <v>18</v>
      </c>
      <c r="F138" s="17" t="s">
        <v>1632</v>
      </c>
      <c r="G138" s="16" t="s">
        <v>82</v>
      </c>
      <c r="H138" s="21" t="s">
        <v>2638</v>
      </c>
      <c r="I138" s="16" t="s">
        <v>11</v>
      </c>
      <c r="J138" s="16" t="s">
        <v>343</v>
      </c>
      <c r="K138" s="16" t="s">
        <v>379</v>
      </c>
      <c r="L138" s="16"/>
      <c r="M138" s="16"/>
      <c r="N138" s="23" t="str">
        <f>HYPERLINK("http://slimages.macys.com/is/image/MCY/19547376 ")</f>
        <v xml:space="preserve">http://slimages.macys.com/is/image/MCY/19547376 </v>
      </c>
    </row>
    <row r="139" spans="1:14" x14ac:dyDescent="0.25">
      <c r="A139" s="21" t="s">
        <v>1689</v>
      </c>
      <c r="B139" s="16" t="s">
        <v>2794</v>
      </c>
      <c r="C139" s="17">
        <v>1</v>
      </c>
      <c r="D139" s="22">
        <v>58</v>
      </c>
      <c r="E139" s="22">
        <v>58</v>
      </c>
      <c r="F139" s="17">
        <v>900647</v>
      </c>
      <c r="G139" s="16" t="s">
        <v>31</v>
      </c>
      <c r="H139" s="21" t="s">
        <v>40</v>
      </c>
      <c r="I139" s="16" t="s">
        <v>11</v>
      </c>
      <c r="J139" s="16" t="s">
        <v>343</v>
      </c>
      <c r="K139" s="16" t="s">
        <v>354</v>
      </c>
      <c r="L139" s="16"/>
      <c r="M139" s="16"/>
      <c r="N139" s="23" t="str">
        <f>HYPERLINK("http://slimages.macys.com/is/image/MCY/19539364 ")</f>
        <v xml:space="preserve">http://slimages.macys.com/is/image/MCY/19539364 </v>
      </c>
    </row>
    <row r="140" spans="1:14" x14ac:dyDescent="0.25">
      <c r="A140" s="21" t="s">
        <v>2842</v>
      </c>
      <c r="B140" s="16" t="s">
        <v>2843</v>
      </c>
      <c r="C140" s="17">
        <v>1</v>
      </c>
      <c r="D140" s="22">
        <v>58</v>
      </c>
      <c r="E140" s="22">
        <v>58</v>
      </c>
      <c r="F140" s="17">
        <v>900647</v>
      </c>
      <c r="G140" s="16" t="s">
        <v>488</v>
      </c>
      <c r="H140" s="21" t="s">
        <v>32</v>
      </c>
      <c r="I140" s="16" t="s">
        <v>11</v>
      </c>
      <c r="J140" s="16" t="s">
        <v>343</v>
      </c>
      <c r="K140" s="16" t="s">
        <v>354</v>
      </c>
      <c r="L140" s="16"/>
      <c r="M140" s="16"/>
      <c r="N140" s="23" t="str">
        <f>HYPERLINK("http://slimages.macys.com/is/image/MCY/19539364 ")</f>
        <v xml:space="preserve">http://slimages.macys.com/is/image/MCY/19539364 </v>
      </c>
    </row>
    <row r="141" spans="1:14" x14ac:dyDescent="0.25">
      <c r="A141" s="21" t="s">
        <v>2811</v>
      </c>
      <c r="B141" s="16" t="s">
        <v>2812</v>
      </c>
      <c r="C141" s="17">
        <v>1</v>
      </c>
      <c r="D141" s="22">
        <v>22.99</v>
      </c>
      <c r="E141" s="22">
        <v>22.99</v>
      </c>
      <c r="F141" s="17" t="s">
        <v>775</v>
      </c>
      <c r="G141" s="16" t="s">
        <v>44</v>
      </c>
      <c r="H141" s="21" t="s">
        <v>184</v>
      </c>
      <c r="I141" s="16" t="s">
        <v>11</v>
      </c>
      <c r="J141" s="16" t="s">
        <v>343</v>
      </c>
      <c r="K141" s="16" t="s">
        <v>379</v>
      </c>
      <c r="L141" s="16"/>
      <c r="M141" s="16"/>
      <c r="N141" s="23" t="str">
        <f>HYPERLINK("http://slimages.macys.com/is/image/MCY/20356327 ")</f>
        <v xml:space="preserve">http://slimages.macys.com/is/image/MCY/20356327 </v>
      </c>
    </row>
    <row r="142" spans="1:14" x14ac:dyDescent="0.25">
      <c r="A142" s="21" t="s">
        <v>1319</v>
      </c>
      <c r="B142" s="16" t="s">
        <v>1320</v>
      </c>
      <c r="C142" s="17">
        <v>10</v>
      </c>
      <c r="D142" s="22">
        <v>36</v>
      </c>
      <c r="E142" s="22">
        <v>360</v>
      </c>
      <c r="F142" s="17" t="s">
        <v>1306</v>
      </c>
      <c r="G142" s="16" t="s">
        <v>44</v>
      </c>
      <c r="H142" s="21" t="s">
        <v>55</v>
      </c>
      <c r="I142" s="16" t="s">
        <v>11</v>
      </c>
      <c r="J142" s="16" t="s">
        <v>343</v>
      </c>
      <c r="K142" s="16" t="s">
        <v>379</v>
      </c>
      <c r="L142" s="16"/>
      <c r="M142" s="16"/>
      <c r="N142" s="23" t="str">
        <f>HYPERLINK("http://slimages.macys.com/is/image/MCY/19626293 ")</f>
        <v xml:space="preserve">http://slimages.macys.com/is/image/MCY/19626293 </v>
      </c>
    </row>
    <row r="143" spans="1:14" x14ac:dyDescent="0.25">
      <c r="A143" s="21" t="s">
        <v>1544</v>
      </c>
      <c r="B143" s="16" t="s">
        <v>1545</v>
      </c>
      <c r="C143" s="17">
        <v>1</v>
      </c>
      <c r="D143" s="22">
        <v>36</v>
      </c>
      <c r="E143" s="22">
        <v>36</v>
      </c>
      <c r="F143" s="17" t="s">
        <v>1306</v>
      </c>
      <c r="G143" s="16" t="s">
        <v>31</v>
      </c>
      <c r="H143" s="21" t="s">
        <v>27</v>
      </c>
      <c r="I143" s="16" t="s">
        <v>11</v>
      </c>
      <c r="J143" s="16" t="s">
        <v>343</v>
      </c>
      <c r="K143" s="16" t="s">
        <v>379</v>
      </c>
      <c r="L143" s="16"/>
      <c r="M143" s="16"/>
      <c r="N143" s="23" t="str">
        <f>HYPERLINK("http://slimages.macys.com/is/image/MCY/19626293 ")</f>
        <v xml:space="preserve">http://slimages.macys.com/is/image/MCY/19626293 </v>
      </c>
    </row>
    <row r="144" spans="1:14" x14ac:dyDescent="0.25">
      <c r="A144" s="21" t="s">
        <v>3314</v>
      </c>
      <c r="B144" s="16" t="s">
        <v>3315</v>
      </c>
      <c r="C144" s="17">
        <v>1</v>
      </c>
      <c r="D144" s="22">
        <v>36</v>
      </c>
      <c r="E144" s="22">
        <v>36</v>
      </c>
      <c r="F144" s="17" t="s">
        <v>408</v>
      </c>
      <c r="G144" s="16" t="s">
        <v>83</v>
      </c>
      <c r="H144" s="21" t="s">
        <v>27</v>
      </c>
      <c r="I144" s="16" t="s">
        <v>11</v>
      </c>
      <c r="J144" s="16" t="s">
        <v>343</v>
      </c>
      <c r="K144" s="16" t="s">
        <v>379</v>
      </c>
      <c r="L144" s="16"/>
      <c r="M144" s="16"/>
      <c r="N144" s="23" t="str">
        <f>HYPERLINK("http://slimages.macys.com/is/image/MCY/19626313 ")</f>
        <v xml:space="preserve">http://slimages.macys.com/is/image/MCY/19626313 </v>
      </c>
    </row>
    <row r="145" spans="1:14" x14ac:dyDescent="0.25">
      <c r="A145" s="21" t="s">
        <v>3939</v>
      </c>
      <c r="B145" s="16" t="s">
        <v>3940</v>
      </c>
      <c r="C145" s="17">
        <v>2</v>
      </c>
      <c r="D145" s="22">
        <v>26.11</v>
      </c>
      <c r="E145" s="22">
        <v>52.22</v>
      </c>
      <c r="F145" s="17">
        <v>900582</v>
      </c>
      <c r="G145" s="16" t="s">
        <v>31</v>
      </c>
      <c r="H145" s="21" t="s">
        <v>32</v>
      </c>
      <c r="I145" s="16" t="s">
        <v>11</v>
      </c>
      <c r="J145" s="16" t="s">
        <v>343</v>
      </c>
      <c r="K145" s="16" t="s">
        <v>354</v>
      </c>
      <c r="L145" s="16"/>
      <c r="M145" s="16"/>
      <c r="N145" s="23" t="str">
        <f>HYPERLINK("http://slimages.macys.com/is/image/MCY/18827350 ")</f>
        <v xml:space="preserve">http://slimages.macys.com/is/image/MCY/18827350 </v>
      </c>
    </row>
    <row r="146" spans="1:14" x14ac:dyDescent="0.25">
      <c r="A146" s="21" t="s">
        <v>4354</v>
      </c>
      <c r="B146" s="16" t="s">
        <v>4355</v>
      </c>
      <c r="C146" s="17">
        <v>2</v>
      </c>
      <c r="D146" s="22">
        <v>21.6</v>
      </c>
      <c r="E146" s="22">
        <v>43.2</v>
      </c>
      <c r="F146" s="17" t="s">
        <v>4356</v>
      </c>
      <c r="G146" s="16" t="s">
        <v>201</v>
      </c>
      <c r="H146" s="21" t="s">
        <v>149</v>
      </c>
      <c r="I146" s="16" t="s">
        <v>11</v>
      </c>
      <c r="J146" s="16" t="s">
        <v>343</v>
      </c>
      <c r="K146" s="16" t="s">
        <v>393</v>
      </c>
      <c r="L146" s="16"/>
      <c r="M146" s="16"/>
      <c r="N146" s="23" t="str">
        <f>HYPERLINK("http://slimages.macys.com/is/image/MCY/20069686 ")</f>
        <v xml:space="preserve">http://slimages.macys.com/is/image/MCY/20069686 </v>
      </c>
    </row>
    <row r="147" spans="1:14" x14ac:dyDescent="0.25">
      <c r="A147" s="21" t="s">
        <v>1641</v>
      </c>
      <c r="B147" s="16" t="s">
        <v>1642</v>
      </c>
      <c r="C147" s="17">
        <v>1</v>
      </c>
      <c r="D147" s="22">
        <v>14.3</v>
      </c>
      <c r="E147" s="22">
        <v>14.3</v>
      </c>
      <c r="F147" s="17" t="s">
        <v>1056</v>
      </c>
      <c r="G147" s="16" t="s">
        <v>31</v>
      </c>
      <c r="H147" s="21" t="s">
        <v>55</v>
      </c>
      <c r="I147" s="16" t="s">
        <v>11</v>
      </c>
      <c r="J147" s="16" t="s">
        <v>343</v>
      </c>
      <c r="K147" s="16" t="s">
        <v>379</v>
      </c>
      <c r="L147" s="16"/>
      <c r="M147" s="16"/>
      <c r="N147" s="23" t="str">
        <f>HYPERLINK("http://slimages.macys.com/is/image/MCY/20120785 ")</f>
        <v xml:space="preserve">http://slimages.macys.com/is/image/MCY/20120785 </v>
      </c>
    </row>
    <row r="148" spans="1:14" x14ac:dyDescent="0.25">
      <c r="A148" s="21" t="s">
        <v>2779</v>
      </c>
      <c r="B148" s="16" t="s">
        <v>2780</v>
      </c>
      <c r="C148" s="17">
        <v>1</v>
      </c>
      <c r="D148" s="22">
        <v>14.3</v>
      </c>
      <c r="E148" s="22">
        <v>14.3</v>
      </c>
      <c r="F148" s="17" t="s">
        <v>1340</v>
      </c>
      <c r="G148" s="16" t="s">
        <v>378</v>
      </c>
      <c r="H148" s="21" t="s">
        <v>32</v>
      </c>
      <c r="I148" s="16" t="s">
        <v>11</v>
      </c>
      <c r="J148" s="16" t="s">
        <v>343</v>
      </c>
      <c r="K148" s="16" t="s">
        <v>379</v>
      </c>
      <c r="L148" s="16"/>
      <c r="M148" s="16"/>
      <c r="N148" s="23" t="str">
        <f>HYPERLINK("http://slimages.macys.com/is/image/MCY/20120079 ")</f>
        <v xml:space="preserve">http://slimages.macys.com/is/image/MCY/20120079 </v>
      </c>
    </row>
    <row r="149" spans="1:14" x14ac:dyDescent="0.25">
      <c r="A149" s="21" t="s">
        <v>4357</v>
      </c>
      <c r="B149" s="16" t="s">
        <v>4358</v>
      </c>
      <c r="C149" s="17">
        <v>1</v>
      </c>
      <c r="D149" s="22">
        <v>14.3</v>
      </c>
      <c r="E149" s="22">
        <v>14.3</v>
      </c>
      <c r="F149" s="17" t="s">
        <v>778</v>
      </c>
      <c r="G149" s="16" t="s">
        <v>137</v>
      </c>
      <c r="H149" s="21" t="s">
        <v>40</v>
      </c>
      <c r="I149" s="16" t="s">
        <v>11</v>
      </c>
      <c r="J149" s="16" t="s">
        <v>343</v>
      </c>
      <c r="K149" s="16" t="s">
        <v>379</v>
      </c>
      <c r="L149" s="16"/>
      <c r="M149" s="16"/>
      <c r="N149" s="23" t="str">
        <f>HYPERLINK("http://slimages.macys.com/is/image/MCY/20121070 ")</f>
        <v xml:space="preserve">http://slimages.macys.com/is/image/MCY/20121070 </v>
      </c>
    </row>
    <row r="150" spans="1:14" x14ac:dyDescent="0.25">
      <c r="A150" s="21" t="s">
        <v>1333</v>
      </c>
      <c r="B150" s="16" t="s">
        <v>1334</v>
      </c>
      <c r="C150" s="17">
        <v>2</v>
      </c>
      <c r="D150" s="22">
        <v>14.3</v>
      </c>
      <c r="E150" s="22">
        <v>28.6</v>
      </c>
      <c r="F150" s="17" t="s">
        <v>1056</v>
      </c>
      <c r="G150" s="16" t="s">
        <v>31</v>
      </c>
      <c r="H150" s="21" t="s">
        <v>40</v>
      </c>
      <c r="I150" s="16" t="s">
        <v>11</v>
      </c>
      <c r="J150" s="16" t="s">
        <v>343</v>
      </c>
      <c r="K150" s="16" t="s">
        <v>379</v>
      </c>
      <c r="L150" s="16"/>
      <c r="M150" s="16"/>
      <c r="N150" s="23" t="str">
        <f>HYPERLINK("http://slimages.macys.com/is/image/MCY/20120785 ")</f>
        <v xml:space="preserve">http://slimages.macys.com/is/image/MCY/20120785 </v>
      </c>
    </row>
    <row r="151" spans="1:14" x14ac:dyDescent="0.25">
      <c r="A151" s="21" t="s">
        <v>1635</v>
      </c>
      <c r="B151" s="16" t="s">
        <v>1636</v>
      </c>
      <c r="C151" s="17">
        <v>2</v>
      </c>
      <c r="D151" s="22">
        <v>14.3</v>
      </c>
      <c r="E151" s="22">
        <v>28.6</v>
      </c>
      <c r="F151" s="17" t="s">
        <v>1051</v>
      </c>
      <c r="G151" s="16" t="s">
        <v>82</v>
      </c>
      <c r="H151" s="21" t="s">
        <v>32</v>
      </c>
      <c r="I151" s="16" t="s">
        <v>11</v>
      </c>
      <c r="J151" s="16" t="s">
        <v>343</v>
      </c>
      <c r="K151" s="16" t="s">
        <v>379</v>
      </c>
      <c r="L151" s="16"/>
      <c r="M151" s="16"/>
      <c r="N151" s="23" t="str">
        <f>HYPERLINK("http://slimages.macys.com/is/image/MCY/20120785 ")</f>
        <v xml:space="preserve">http://slimages.macys.com/is/image/MCY/20120785 </v>
      </c>
    </row>
    <row r="152" spans="1:14" x14ac:dyDescent="0.25">
      <c r="A152" s="21" t="s">
        <v>1704</v>
      </c>
      <c r="B152" s="16" t="s">
        <v>2781</v>
      </c>
      <c r="C152" s="17">
        <v>1</v>
      </c>
      <c r="D152" s="22">
        <v>14.3</v>
      </c>
      <c r="E152" s="22">
        <v>14.3</v>
      </c>
      <c r="F152" s="17" t="s">
        <v>1340</v>
      </c>
      <c r="G152" s="16" t="s">
        <v>102</v>
      </c>
      <c r="H152" s="21" t="s">
        <v>40</v>
      </c>
      <c r="I152" s="16" t="s">
        <v>11</v>
      </c>
      <c r="J152" s="16" t="s">
        <v>343</v>
      </c>
      <c r="K152" s="16" t="s">
        <v>379</v>
      </c>
      <c r="L152" s="16"/>
      <c r="M152" s="16"/>
      <c r="N152" s="23" t="str">
        <f>HYPERLINK("http://slimages.macys.com/is/image/MCY/20120079 ")</f>
        <v xml:space="preserve">http://slimages.macys.com/is/image/MCY/20120079 </v>
      </c>
    </row>
    <row r="153" spans="1:14" x14ac:dyDescent="0.25">
      <c r="A153" s="21" t="s">
        <v>4359</v>
      </c>
      <c r="B153" s="16" t="s">
        <v>4360</v>
      </c>
      <c r="C153" s="17">
        <v>3</v>
      </c>
      <c r="D153" s="22">
        <v>21.6</v>
      </c>
      <c r="E153" s="22">
        <v>64.8</v>
      </c>
      <c r="F153" s="17" t="s">
        <v>3408</v>
      </c>
      <c r="G153" s="16" t="s">
        <v>102</v>
      </c>
      <c r="H153" s="21" t="s">
        <v>27</v>
      </c>
      <c r="I153" s="16" t="s">
        <v>11</v>
      </c>
      <c r="J153" s="16" t="s">
        <v>343</v>
      </c>
      <c r="K153" s="16" t="s">
        <v>393</v>
      </c>
      <c r="L153" s="16"/>
      <c r="M153" s="16"/>
      <c r="N153" s="23" t="str">
        <f>HYPERLINK("http://slimages.macys.com/is/image/MCY/20069711 ")</f>
        <v xml:space="preserve">http://slimages.macys.com/is/image/MCY/20069711 </v>
      </c>
    </row>
    <row r="154" spans="1:14" x14ac:dyDescent="0.25">
      <c r="A154" s="21" t="s">
        <v>1705</v>
      </c>
      <c r="B154" s="16" t="s">
        <v>2822</v>
      </c>
      <c r="C154" s="17">
        <v>1</v>
      </c>
      <c r="D154" s="22">
        <v>14.3</v>
      </c>
      <c r="E154" s="22">
        <v>14.3</v>
      </c>
      <c r="F154" s="17" t="s">
        <v>1051</v>
      </c>
      <c r="G154" s="16" t="s">
        <v>44</v>
      </c>
      <c r="H154" s="21" t="s">
        <v>55</v>
      </c>
      <c r="I154" s="16" t="s">
        <v>11</v>
      </c>
      <c r="J154" s="16" t="s">
        <v>343</v>
      </c>
      <c r="K154" s="16" t="s">
        <v>379</v>
      </c>
      <c r="L154" s="16"/>
      <c r="M154" s="16"/>
      <c r="N154" s="23" t="str">
        <f>HYPERLINK("http://slimages.macys.com/is/image/MCY/20120785 ")</f>
        <v xml:space="preserve">http://slimages.macys.com/is/image/MCY/20120785 </v>
      </c>
    </row>
    <row r="155" spans="1:14" x14ac:dyDescent="0.25">
      <c r="A155" s="21" t="s">
        <v>4361</v>
      </c>
      <c r="B155" s="16" t="s">
        <v>4362</v>
      </c>
      <c r="C155" s="17">
        <v>2</v>
      </c>
      <c r="D155" s="22">
        <v>21.6</v>
      </c>
      <c r="E155" s="22">
        <v>43.2</v>
      </c>
      <c r="F155" s="17" t="s">
        <v>3408</v>
      </c>
      <c r="G155" s="16" t="s">
        <v>201</v>
      </c>
      <c r="H155" s="21" t="s">
        <v>32</v>
      </c>
      <c r="I155" s="16" t="s">
        <v>11</v>
      </c>
      <c r="J155" s="16" t="s">
        <v>343</v>
      </c>
      <c r="K155" s="16" t="s">
        <v>393</v>
      </c>
      <c r="L155" s="16"/>
      <c r="M155" s="16"/>
      <c r="N155" s="23" t="str">
        <f>HYPERLINK("http://slimages.macys.com/is/image/MCY/20069711 ")</f>
        <v xml:space="preserve">http://slimages.macys.com/is/image/MCY/20069711 </v>
      </c>
    </row>
    <row r="156" spans="1:14" x14ac:dyDescent="0.25">
      <c r="A156" s="21" t="s">
        <v>4363</v>
      </c>
      <c r="B156" s="16" t="s">
        <v>4364</v>
      </c>
      <c r="C156" s="17">
        <v>1</v>
      </c>
      <c r="D156" s="22">
        <v>7.5</v>
      </c>
      <c r="E156" s="22">
        <v>7.5</v>
      </c>
      <c r="F156" s="17" t="s">
        <v>4365</v>
      </c>
      <c r="G156" s="16" t="s">
        <v>37</v>
      </c>
      <c r="H156" s="21"/>
      <c r="I156" s="16" t="s">
        <v>11</v>
      </c>
      <c r="J156" s="16" t="s">
        <v>343</v>
      </c>
      <c r="K156" s="16" t="s">
        <v>772</v>
      </c>
      <c r="L156" s="16"/>
      <c r="M156" s="16"/>
      <c r="N156" s="23" t="str">
        <f>HYPERLINK("http://slimages.macys.com/is/image/MCY/19695949 ")</f>
        <v xml:space="preserve">http://slimages.macys.com/is/image/MCY/19695949 </v>
      </c>
    </row>
    <row r="157" spans="1:14" x14ac:dyDescent="0.25">
      <c r="A157" s="21" t="s">
        <v>2661</v>
      </c>
      <c r="B157" s="16" t="s">
        <v>2662</v>
      </c>
      <c r="C157" s="17">
        <v>1</v>
      </c>
      <c r="D157" s="22">
        <v>9.3000000000000007</v>
      </c>
      <c r="E157" s="22">
        <v>9.3000000000000007</v>
      </c>
      <c r="F157" s="17" t="s">
        <v>1706</v>
      </c>
      <c r="G157" s="16" t="s">
        <v>31</v>
      </c>
      <c r="H157" s="21" t="s">
        <v>1707</v>
      </c>
      <c r="I157" s="16" t="s">
        <v>11</v>
      </c>
      <c r="J157" s="16" t="s">
        <v>412</v>
      </c>
      <c r="K157" s="16" t="s">
        <v>110</v>
      </c>
      <c r="L157" s="16" t="s">
        <v>111</v>
      </c>
      <c r="M157" s="16" t="s">
        <v>113</v>
      </c>
      <c r="N157" s="23" t="str">
        <f>HYPERLINK("http://slimages.macys.com/is/image/MCY/1199108 ")</f>
        <v xml:space="preserve">http://slimages.macys.com/is/image/MCY/1199108 </v>
      </c>
    </row>
    <row r="158" spans="1:14" x14ac:dyDescent="0.25">
      <c r="A158" s="21" t="s">
        <v>4366</v>
      </c>
      <c r="B158" s="16" t="s">
        <v>4367</v>
      </c>
      <c r="C158" s="17">
        <v>1</v>
      </c>
      <c r="D158" s="22">
        <v>26.11</v>
      </c>
      <c r="E158" s="22">
        <v>26.11</v>
      </c>
      <c r="F158" s="17" t="s">
        <v>4368</v>
      </c>
      <c r="G158" s="16" t="s">
        <v>122</v>
      </c>
      <c r="H158" s="21" t="s">
        <v>422</v>
      </c>
      <c r="I158" s="16" t="s">
        <v>11</v>
      </c>
      <c r="J158" s="16" t="s">
        <v>412</v>
      </c>
      <c r="K158" s="16" t="s">
        <v>110</v>
      </c>
      <c r="L158" s="16" t="s">
        <v>111</v>
      </c>
      <c r="M158" s="16" t="s">
        <v>113</v>
      </c>
      <c r="N158" s="23" t="str">
        <f>HYPERLINK("http://slimages.macys.com/is/image/MCY/3818076 ")</f>
        <v xml:space="preserve">http://slimages.macys.com/is/image/MCY/3818076 </v>
      </c>
    </row>
    <row r="159" spans="1:14" x14ac:dyDescent="0.25">
      <c r="A159" s="21" t="s">
        <v>449</v>
      </c>
      <c r="B159" s="16" t="s">
        <v>450</v>
      </c>
      <c r="C159" s="17">
        <v>1</v>
      </c>
      <c r="D159" s="22">
        <v>5.6</v>
      </c>
      <c r="E159" s="22">
        <v>5.6</v>
      </c>
      <c r="F159" s="17">
        <v>100117216</v>
      </c>
      <c r="G159" s="16" t="s">
        <v>85</v>
      </c>
      <c r="H159" s="21" t="s">
        <v>27</v>
      </c>
      <c r="I159" s="16" t="s">
        <v>11</v>
      </c>
      <c r="J159" s="16" t="s">
        <v>427</v>
      </c>
      <c r="K159" s="16" t="s">
        <v>428</v>
      </c>
      <c r="L159" s="16"/>
      <c r="M159" s="16"/>
      <c r="N159" s="23" t="str">
        <f>HYPERLINK("http://slimages.macys.com/is/image/MCY/20549906 ")</f>
        <v xml:space="preserve">http://slimages.macys.com/is/image/MCY/20549906 </v>
      </c>
    </row>
    <row r="160" spans="1:14" x14ac:dyDescent="0.25">
      <c r="A160" s="21" t="s">
        <v>3409</v>
      </c>
      <c r="B160" s="16" t="s">
        <v>3410</v>
      </c>
      <c r="C160" s="17">
        <v>1</v>
      </c>
      <c r="D160" s="22">
        <v>5.6</v>
      </c>
      <c r="E160" s="22">
        <v>5.6</v>
      </c>
      <c r="F160" s="17">
        <v>100132108</v>
      </c>
      <c r="G160" s="16" t="s">
        <v>31</v>
      </c>
      <c r="H160" s="21" t="s">
        <v>55</v>
      </c>
      <c r="I160" s="16" t="s">
        <v>11</v>
      </c>
      <c r="J160" s="16" t="s">
        <v>457</v>
      </c>
      <c r="K160" s="16" t="s">
        <v>459</v>
      </c>
      <c r="L160" s="16"/>
      <c r="M160" s="16"/>
      <c r="N160" s="23" t="str">
        <f>HYPERLINK("http://slimages.macys.com/is/image/MCY/19787468 ")</f>
        <v xml:space="preserve">http://slimages.macys.com/is/image/MCY/19787468 </v>
      </c>
    </row>
    <row r="161" spans="1:14" x14ac:dyDescent="0.25">
      <c r="A161" s="21" t="s">
        <v>1101</v>
      </c>
      <c r="B161" s="16" t="s">
        <v>1102</v>
      </c>
      <c r="C161" s="17">
        <v>1</v>
      </c>
      <c r="D161" s="22">
        <v>3.93</v>
      </c>
      <c r="E161" s="22">
        <v>3.93</v>
      </c>
      <c r="F161" s="17">
        <v>100113279</v>
      </c>
      <c r="G161" s="16" t="s">
        <v>31</v>
      </c>
      <c r="H161" s="21" t="s">
        <v>87</v>
      </c>
      <c r="I161" s="16" t="s">
        <v>11</v>
      </c>
      <c r="J161" s="16" t="s">
        <v>457</v>
      </c>
      <c r="K161" s="16" t="s">
        <v>459</v>
      </c>
      <c r="L161" s="16"/>
      <c r="M161" s="16"/>
      <c r="N161" s="23" t="str">
        <f>HYPERLINK("http://slimages.macys.com/is/image/MCY/18058807 ")</f>
        <v xml:space="preserve">http://slimages.macys.com/is/image/MCY/18058807 </v>
      </c>
    </row>
    <row r="162" spans="1:14" x14ac:dyDescent="0.25">
      <c r="A162" s="21" t="s">
        <v>4369</v>
      </c>
      <c r="B162" s="16" t="s">
        <v>4370</v>
      </c>
      <c r="C162" s="17">
        <v>1</v>
      </c>
      <c r="D162" s="22">
        <v>3.93</v>
      </c>
      <c r="E162" s="22">
        <v>3.93</v>
      </c>
      <c r="F162" s="17">
        <v>100113279</v>
      </c>
      <c r="G162" s="16" t="s">
        <v>31</v>
      </c>
      <c r="H162" s="21"/>
      <c r="I162" s="16" t="s">
        <v>11</v>
      </c>
      <c r="J162" s="16" t="s">
        <v>457</v>
      </c>
      <c r="K162" s="16" t="s">
        <v>459</v>
      </c>
      <c r="L162" s="16"/>
      <c r="M162" s="16"/>
      <c r="N162" s="23" t="str">
        <f>HYPERLINK("http://slimages.macys.com/is/image/MCY/18058807 ")</f>
        <v xml:space="preserve">http://slimages.macys.com/is/image/MCY/18058807 </v>
      </c>
    </row>
    <row r="163" spans="1:14" x14ac:dyDescent="0.25">
      <c r="A163" s="21" t="s">
        <v>4371</v>
      </c>
      <c r="B163" s="16" t="s">
        <v>4372</v>
      </c>
      <c r="C163" s="17">
        <v>12</v>
      </c>
      <c r="D163" s="22">
        <v>24</v>
      </c>
      <c r="E163" s="22">
        <v>288</v>
      </c>
      <c r="F163" s="17" t="s">
        <v>4373</v>
      </c>
      <c r="G163" s="16" t="s">
        <v>238</v>
      </c>
      <c r="H163" s="21" t="s">
        <v>40</v>
      </c>
      <c r="I163" s="16" t="s">
        <v>11</v>
      </c>
      <c r="J163" s="16" t="s">
        <v>533</v>
      </c>
      <c r="K163" s="16" t="s">
        <v>535</v>
      </c>
      <c r="L163" s="16" t="s">
        <v>685</v>
      </c>
      <c r="M163" s="16" t="s">
        <v>113</v>
      </c>
      <c r="N163" s="23" t="str">
        <f>HYPERLINK("http://images.bloomingdales.com/is/image/BLM/8729534 ")</f>
        <v xml:space="preserve">http://images.bloomingdales.com/is/image/BLM/8729534 </v>
      </c>
    </row>
    <row r="164" spans="1:14" x14ac:dyDescent="0.25">
      <c r="A164" s="21" t="s">
        <v>4374</v>
      </c>
      <c r="B164" s="16" t="s">
        <v>4375</v>
      </c>
      <c r="C164" s="17">
        <v>13</v>
      </c>
      <c r="D164" s="22">
        <v>24</v>
      </c>
      <c r="E164" s="22">
        <v>312</v>
      </c>
      <c r="F164" s="17" t="s">
        <v>4373</v>
      </c>
      <c r="G164" s="16" t="s">
        <v>238</v>
      </c>
      <c r="H164" s="21" t="s">
        <v>32</v>
      </c>
      <c r="I164" s="16" t="s">
        <v>11</v>
      </c>
      <c r="J164" s="16" t="s">
        <v>533</v>
      </c>
      <c r="K164" s="16" t="s">
        <v>535</v>
      </c>
      <c r="L164" s="16" t="s">
        <v>685</v>
      </c>
      <c r="M164" s="16" t="s">
        <v>113</v>
      </c>
      <c r="N164" s="23" t="str">
        <f>HYPERLINK("http://images.bloomingdales.com/is/image/BLM/8729534 ")</f>
        <v xml:space="preserve">http://images.bloomingdales.com/is/image/BLM/8729534 </v>
      </c>
    </row>
    <row r="165" spans="1:14" x14ac:dyDescent="0.25">
      <c r="A165" s="21" t="s">
        <v>4376</v>
      </c>
      <c r="B165" s="16" t="s">
        <v>4377</v>
      </c>
      <c r="C165" s="17">
        <v>7</v>
      </c>
      <c r="D165" s="22">
        <v>24</v>
      </c>
      <c r="E165" s="22">
        <v>168</v>
      </c>
      <c r="F165" s="17" t="s">
        <v>4373</v>
      </c>
      <c r="G165" s="16" t="s">
        <v>238</v>
      </c>
      <c r="H165" s="21" t="s">
        <v>55</v>
      </c>
      <c r="I165" s="16" t="s">
        <v>11</v>
      </c>
      <c r="J165" s="16" t="s">
        <v>533</v>
      </c>
      <c r="K165" s="16" t="s">
        <v>535</v>
      </c>
      <c r="L165" s="16" t="s">
        <v>685</v>
      </c>
      <c r="M165" s="16" t="s">
        <v>113</v>
      </c>
      <c r="N165" s="23" t="str">
        <f>HYPERLINK("http://images.bloomingdales.com/is/image/BLM/8729534 ")</f>
        <v xml:space="preserve">http://images.bloomingdales.com/is/image/BLM/8729534 </v>
      </c>
    </row>
    <row r="166" spans="1:14" x14ac:dyDescent="0.25">
      <c r="A166" s="21" t="s">
        <v>4378</v>
      </c>
      <c r="B166" s="16" t="s">
        <v>4379</v>
      </c>
      <c r="C166" s="17">
        <v>8</v>
      </c>
      <c r="D166" s="22">
        <v>24</v>
      </c>
      <c r="E166" s="22">
        <v>192</v>
      </c>
      <c r="F166" s="17" t="s">
        <v>4373</v>
      </c>
      <c r="G166" s="16" t="s">
        <v>238</v>
      </c>
      <c r="H166" s="21" t="s">
        <v>27</v>
      </c>
      <c r="I166" s="16" t="s">
        <v>11</v>
      </c>
      <c r="J166" s="16" t="s">
        <v>533</v>
      </c>
      <c r="K166" s="16" t="s">
        <v>535</v>
      </c>
      <c r="L166" s="16" t="s">
        <v>685</v>
      </c>
      <c r="M166" s="16" t="s">
        <v>113</v>
      </c>
      <c r="N166" s="23" t="str">
        <f>HYPERLINK("http://images.bloomingdales.com/is/image/BLM/8729534 ")</f>
        <v xml:space="preserve">http://images.bloomingdales.com/is/image/BLM/8729534 </v>
      </c>
    </row>
    <row r="167" spans="1:14" x14ac:dyDescent="0.25">
      <c r="A167" s="21" t="s">
        <v>4380</v>
      </c>
      <c r="B167" s="16" t="s">
        <v>4381</v>
      </c>
      <c r="C167" s="17">
        <v>5</v>
      </c>
      <c r="D167" s="22">
        <v>24</v>
      </c>
      <c r="E167" s="22">
        <v>120</v>
      </c>
      <c r="F167" s="17" t="s">
        <v>4373</v>
      </c>
      <c r="G167" s="16" t="s">
        <v>238</v>
      </c>
      <c r="H167" s="21" t="s">
        <v>47</v>
      </c>
      <c r="I167" s="16" t="s">
        <v>11</v>
      </c>
      <c r="J167" s="16" t="s">
        <v>533</v>
      </c>
      <c r="K167" s="16" t="s">
        <v>535</v>
      </c>
      <c r="L167" s="16" t="s">
        <v>685</v>
      </c>
      <c r="M167" s="16" t="s">
        <v>113</v>
      </c>
      <c r="N167" s="23" t="str">
        <f>HYPERLINK("http://images.bloomingdales.com/is/image/BLM/8729534 ")</f>
        <v xml:space="preserve">http://images.bloomingdales.com/is/image/BLM/8729534 </v>
      </c>
    </row>
    <row r="168" spans="1:14" x14ac:dyDescent="0.25">
      <c r="A168" s="21" t="s">
        <v>4382</v>
      </c>
      <c r="B168" s="16" t="s">
        <v>4383</v>
      </c>
      <c r="C168" s="17">
        <v>2</v>
      </c>
      <c r="D168" s="22">
        <v>88</v>
      </c>
      <c r="E168" s="22">
        <v>176</v>
      </c>
      <c r="F168" s="17">
        <v>94986</v>
      </c>
      <c r="G168" s="16" t="s">
        <v>488</v>
      </c>
      <c r="H168" s="21" t="s">
        <v>32</v>
      </c>
      <c r="I168" s="16" t="s">
        <v>893</v>
      </c>
      <c r="J168" s="16" t="s">
        <v>539</v>
      </c>
      <c r="K168" s="16" t="s">
        <v>347</v>
      </c>
      <c r="L168" s="16" t="s">
        <v>220</v>
      </c>
      <c r="M168" s="16" t="s">
        <v>4384</v>
      </c>
      <c r="N168" s="23" t="str">
        <f>HYPERLINK("http://images.bloomingdales.com/is/image/BLM/11719760 ")</f>
        <v xml:space="preserve">http://images.bloomingdales.com/is/image/BLM/11719760 </v>
      </c>
    </row>
    <row r="169" spans="1:14" x14ac:dyDescent="0.25">
      <c r="A169" s="21" t="s">
        <v>2712</v>
      </c>
      <c r="B169" s="16" t="s">
        <v>2713</v>
      </c>
      <c r="C169" s="17">
        <v>3</v>
      </c>
      <c r="D169" s="22">
        <v>70</v>
      </c>
      <c r="E169" s="22">
        <v>210</v>
      </c>
      <c r="F169" s="17" t="s">
        <v>1117</v>
      </c>
      <c r="G169" s="16" t="s">
        <v>201</v>
      </c>
      <c r="H169" s="21" t="s">
        <v>227</v>
      </c>
      <c r="I169" s="16" t="s">
        <v>11</v>
      </c>
      <c r="J169" s="16" t="s">
        <v>539</v>
      </c>
      <c r="K169" s="16" t="s">
        <v>540</v>
      </c>
      <c r="L169" s="16" t="s">
        <v>220</v>
      </c>
      <c r="M169" s="16" t="s">
        <v>890</v>
      </c>
      <c r="N169" s="23" t="str">
        <f>HYPERLINK("http://images.bloomingdales.com/is/image/BLM/11473706 ")</f>
        <v xml:space="preserve">http://images.bloomingdales.com/is/image/BLM/11473706 </v>
      </c>
    </row>
    <row r="170" spans="1:14" x14ac:dyDescent="0.25">
      <c r="A170" s="21" t="s">
        <v>548</v>
      </c>
      <c r="B170" s="16" t="s">
        <v>549</v>
      </c>
      <c r="C170" s="17">
        <v>1</v>
      </c>
      <c r="D170" s="22">
        <v>48.3</v>
      </c>
      <c r="E170" s="22">
        <v>48.3</v>
      </c>
      <c r="F170" s="17" t="s">
        <v>550</v>
      </c>
      <c r="G170" s="16" t="s">
        <v>83</v>
      </c>
      <c r="H170" s="21" t="s">
        <v>227</v>
      </c>
      <c r="I170" s="16" t="s">
        <v>11</v>
      </c>
      <c r="J170" s="16" t="s">
        <v>539</v>
      </c>
      <c r="K170" s="16" t="s">
        <v>551</v>
      </c>
      <c r="L170" s="16"/>
      <c r="M170" s="16"/>
      <c r="N170" s="23" t="str">
        <f>HYPERLINK("http://slimages.macys.com/is/image/MCY/20071816 ")</f>
        <v xml:space="preserve">http://slimages.macys.com/is/image/MCY/20071816 </v>
      </c>
    </row>
    <row r="171" spans="1:14" x14ac:dyDescent="0.25">
      <c r="A171" s="21" t="s">
        <v>3878</v>
      </c>
      <c r="B171" s="16" t="s">
        <v>3879</v>
      </c>
      <c r="C171" s="17">
        <v>2</v>
      </c>
      <c r="D171" s="22">
        <v>48.3</v>
      </c>
      <c r="E171" s="22">
        <v>96.6</v>
      </c>
      <c r="F171" s="17" t="s">
        <v>552</v>
      </c>
      <c r="G171" s="16" t="s">
        <v>137</v>
      </c>
      <c r="H171" s="21" t="s">
        <v>228</v>
      </c>
      <c r="I171" s="16" t="s">
        <v>11</v>
      </c>
      <c r="J171" s="16" t="s">
        <v>539</v>
      </c>
      <c r="K171" s="16" t="s">
        <v>551</v>
      </c>
      <c r="L171" s="16"/>
      <c r="M171" s="16"/>
      <c r="N171" s="23" t="str">
        <f>HYPERLINK("http://slimages.macys.com/is/image/MCY/19781798 ")</f>
        <v xml:space="preserve">http://slimages.macys.com/is/image/MCY/19781798 </v>
      </c>
    </row>
    <row r="172" spans="1:14" x14ac:dyDescent="0.25">
      <c r="A172" s="21" t="s">
        <v>4385</v>
      </c>
      <c r="B172" s="16" t="s">
        <v>4386</v>
      </c>
      <c r="C172" s="17">
        <v>1</v>
      </c>
      <c r="D172" s="22">
        <v>41.3</v>
      </c>
      <c r="E172" s="22">
        <v>41.3</v>
      </c>
      <c r="F172" s="17" t="s">
        <v>3272</v>
      </c>
      <c r="G172" s="16" t="s">
        <v>83</v>
      </c>
      <c r="H172" s="21" t="s">
        <v>231</v>
      </c>
      <c r="I172" s="16" t="s">
        <v>11</v>
      </c>
      <c r="J172" s="16" t="s">
        <v>539</v>
      </c>
      <c r="K172" s="16" t="s">
        <v>551</v>
      </c>
      <c r="L172" s="16"/>
      <c r="M172" s="16"/>
      <c r="N172" s="23" t="str">
        <f>HYPERLINK("http://slimages.macys.com/is/image/MCY/19261419 ")</f>
        <v xml:space="preserve">http://slimages.macys.com/is/image/MCY/19261419 </v>
      </c>
    </row>
    <row r="173" spans="1:14" x14ac:dyDescent="0.25">
      <c r="A173" s="21" t="s">
        <v>4387</v>
      </c>
      <c r="B173" s="16" t="s">
        <v>4388</v>
      </c>
      <c r="C173" s="17">
        <v>1</v>
      </c>
      <c r="D173" s="22">
        <v>29.99</v>
      </c>
      <c r="E173" s="22">
        <v>29.99</v>
      </c>
      <c r="F173" s="17" t="s">
        <v>4389</v>
      </c>
      <c r="G173" s="16" t="s">
        <v>214</v>
      </c>
      <c r="H173" s="21" t="s">
        <v>40</v>
      </c>
      <c r="I173" s="16" t="s">
        <v>11</v>
      </c>
      <c r="J173" s="16" t="s">
        <v>539</v>
      </c>
      <c r="K173" s="16" t="s">
        <v>555</v>
      </c>
      <c r="L173" s="16"/>
      <c r="M173" s="16"/>
      <c r="N173" s="23" t="str">
        <f>HYPERLINK("http://slimages.macys.com/is/image/MCY/19685941 ")</f>
        <v xml:space="preserve">http://slimages.macys.com/is/image/MCY/19685941 </v>
      </c>
    </row>
    <row r="174" spans="1:14" x14ac:dyDescent="0.25">
      <c r="A174" s="21" t="s">
        <v>3758</v>
      </c>
      <c r="B174" s="16" t="s">
        <v>3759</v>
      </c>
      <c r="C174" s="17">
        <v>1</v>
      </c>
      <c r="D174" s="22">
        <v>29.5</v>
      </c>
      <c r="E174" s="22">
        <v>29.5</v>
      </c>
      <c r="F174" s="17" t="s">
        <v>3760</v>
      </c>
      <c r="G174" s="16" t="s">
        <v>559</v>
      </c>
      <c r="H174" s="21" t="s">
        <v>259</v>
      </c>
      <c r="I174" s="16" t="s">
        <v>11</v>
      </c>
      <c r="J174" s="16" t="s">
        <v>539</v>
      </c>
      <c r="K174" s="16" t="s">
        <v>560</v>
      </c>
      <c r="L174" s="16"/>
      <c r="M174" s="16"/>
      <c r="N174" s="23" t="str">
        <f>HYPERLINK("http://slimages.macys.com/is/image/MCY/19859003 ")</f>
        <v xml:space="preserve">http://slimages.macys.com/is/image/MCY/19859003 </v>
      </c>
    </row>
    <row r="175" spans="1:14" x14ac:dyDescent="0.25">
      <c r="A175" s="21" t="s">
        <v>4390</v>
      </c>
      <c r="B175" s="16" t="s">
        <v>4391</v>
      </c>
      <c r="C175" s="17">
        <v>1</v>
      </c>
      <c r="D175" s="22">
        <v>24.99</v>
      </c>
      <c r="E175" s="22">
        <v>24.99</v>
      </c>
      <c r="F175" s="17" t="s">
        <v>4392</v>
      </c>
      <c r="G175" s="16" t="s">
        <v>83</v>
      </c>
      <c r="H175" s="21" t="s">
        <v>561</v>
      </c>
      <c r="I175" s="16" t="s">
        <v>11</v>
      </c>
      <c r="J175" s="16" t="s">
        <v>539</v>
      </c>
      <c r="K175" s="16" t="s">
        <v>555</v>
      </c>
      <c r="L175" s="16"/>
      <c r="M175" s="16"/>
      <c r="N175" s="23" t="str">
        <f>HYPERLINK("http://slimages.macys.com/is/image/MCY/19841104 ")</f>
        <v xml:space="preserve">http://slimages.macys.com/is/image/MCY/19841104 </v>
      </c>
    </row>
    <row r="176" spans="1:14" x14ac:dyDescent="0.25">
      <c r="A176" s="21" t="s">
        <v>2840</v>
      </c>
      <c r="B176" s="16" t="s">
        <v>2841</v>
      </c>
      <c r="C176" s="17">
        <v>1</v>
      </c>
      <c r="D176" s="22">
        <v>25.2</v>
      </c>
      <c r="E176" s="22">
        <v>25.2</v>
      </c>
      <c r="F176" s="17">
        <v>16841</v>
      </c>
      <c r="G176" s="16" t="s">
        <v>484</v>
      </c>
      <c r="H176" s="21" t="s">
        <v>32</v>
      </c>
      <c r="I176" s="16" t="s">
        <v>11</v>
      </c>
      <c r="J176" s="16" t="s">
        <v>539</v>
      </c>
      <c r="K176" s="16" t="s">
        <v>889</v>
      </c>
      <c r="L176" s="16"/>
      <c r="M176" s="16"/>
      <c r="N176" s="23" t="str">
        <f>HYPERLINK("http://slimages.macys.com/is/image/MCY/20353960 ")</f>
        <v xml:space="preserve">http://slimages.macys.com/is/image/MCY/20353960 </v>
      </c>
    </row>
    <row r="177" spans="1:14" x14ac:dyDescent="0.25">
      <c r="A177" s="21" t="s">
        <v>4393</v>
      </c>
      <c r="B177" s="16" t="s">
        <v>4394</v>
      </c>
      <c r="C177" s="17">
        <v>1</v>
      </c>
      <c r="D177" s="22">
        <v>23.8</v>
      </c>
      <c r="E177" s="22">
        <v>23.8</v>
      </c>
      <c r="F177" s="17">
        <v>16674</v>
      </c>
      <c r="G177" s="16" t="s">
        <v>37</v>
      </c>
      <c r="H177" s="21"/>
      <c r="I177" s="16" t="s">
        <v>11</v>
      </c>
      <c r="J177" s="16" t="s">
        <v>539</v>
      </c>
      <c r="K177" s="16" t="s">
        <v>889</v>
      </c>
      <c r="L177" s="16"/>
      <c r="M177" s="16"/>
      <c r="N177" s="23" t="str">
        <f>HYPERLINK("http://slimages.macys.com/is/image/MCY/20006276 ")</f>
        <v xml:space="preserve">http://slimages.macys.com/is/image/MCY/20006276 </v>
      </c>
    </row>
    <row r="178" spans="1:14" x14ac:dyDescent="0.25">
      <c r="A178" s="21" t="s">
        <v>3277</v>
      </c>
      <c r="B178" s="16" t="s">
        <v>4395</v>
      </c>
      <c r="C178" s="17">
        <v>1</v>
      </c>
      <c r="D178" s="22">
        <v>22.5</v>
      </c>
      <c r="E178" s="22">
        <v>22.5</v>
      </c>
      <c r="F178" s="17" t="s">
        <v>3279</v>
      </c>
      <c r="G178" s="16" t="s">
        <v>559</v>
      </c>
      <c r="H178" s="21" t="s">
        <v>3280</v>
      </c>
      <c r="I178" s="16" t="s">
        <v>11</v>
      </c>
      <c r="J178" s="16" t="s">
        <v>539</v>
      </c>
      <c r="K178" s="16" t="s">
        <v>560</v>
      </c>
      <c r="L178" s="16"/>
      <c r="M178" s="16"/>
      <c r="N178" s="23" t="str">
        <f>HYPERLINK("http://slimages.macys.com/is/image/MCY/19963659 ")</f>
        <v xml:space="preserve">http://slimages.macys.com/is/image/MCY/19963659 </v>
      </c>
    </row>
    <row r="179" spans="1:14" x14ac:dyDescent="0.25">
      <c r="A179" s="21" t="s">
        <v>4396</v>
      </c>
      <c r="B179" s="16" t="s">
        <v>4397</v>
      </c>
      <c r="C179" s="17">
        <v>1</v>
      </c>
      <c r="D179" s="22">
        <v>22.5</v>
      </c>
      <c r="E179" s="22">
        <v>22.5</v>
      </c>
      <c r="F179" s="17" t="s">
        <v>4398</v>
      </c>
      <c r="G179" s="16" t="s">
        <v>559</v>
      </c>
      <c r="H179" s="21" t="s">
        <v>3407</v>
      </c>
      <c r="I179" s="16" t="s">
        <v>11</v>
      </c>
      <c r="J179" s="16" t="s">
        <v>539</v>
      </c>
      <c r="K179" s="16" t="s">
        <v>560</v>
      </c>
      <c r="L179" s="16"/>
      <c r="M179" s="16"/>
      <c r="N179" s="23" t="str">
        <f>HYPERLINK("http://slimages.macys.com/is/image/MCY/19859572 ")</f>
        <v xml:space="preserve">http://slimages.macys.com/is/image/MCY/19859572 </v>
      </c>
    </row>
    <row r="180" spans="1:14" x14ac:dyDescent="0.25">
      <c r="A180" s="21" t="s">
        <v>4399</v>
      </c>
      <c r="B180" s="16" t="s">
        <v>4400</v>
      </c>
      <c r="C180" s="17">
        <v>1</v>
      </c>
      <c r="D180" s="22">
        <v>22.5</v>
      </c>
      <c r="E180" s="22">
        <v>22.5</v>
      </c>
      <c r="F180" s="17" t="s">
        <v>4398</v>
      </c>
      <c r="G180" s="16" t="s">
        <v>559</v>
      </c>
      <c r="H180" s="21" t="s">
        <v>4401</v>
      </c>
      <c r="I180" s="16" t="s">
        <v>11</v>
      </c>
      <c r="J180" s="16" t="s">
        <v>539</v>
      </c>
      <c r="K180" s="16" t="s">
        <v>560</v>
      </c>
      <c r="L180" s="16"/>
      <c r="M180" s="16"/>
      <c r="N180" s="23" t="str">
        <f>HYPERLINK("http://slimages.macys.com/is/image/MCY/19859572 ")</f>
        <v xml:space="preserve">http://slimages.macys.com/is/image/MCY/19859572 </v>
      </c>
    </row>
    <row r="181" spans="1:14" x14ac:dyDescent="0.25">
      <c r="A181" s="21" t="s">
        <v>3643</v>
      </c>
      <c r="B181" s="16" t="s">
        <v>3644</v>
      </c>
      <c r="C181" s="17">
        <v>5</v>
      </c>
      <c r="D181" s="22">
        <v>8.9600000000000009</v>
      </c>
      <c r="E181" s="22">
        <v>44.8</v>
      </c>
      <c r="F181" s="17" t="s">
        <v>3645</v>
      </c>
      <c r="G181" s="16" t="s">
        <v>3320</v>
      </c>
      <c r="H181" s="21" t="s">
        <v>3321</v>
      </c>
      <c r="I181" s="16" t="s">
        <v>11</v>
      </c>
      <c r="J181" s="16" t="s">
        <v>130</v>
      </c>
      <c r="K181" s="16" t="s">
        <v>3322</v>
      </c>
      <c r="L181" s="16"/>
      <c r="M181" s="16"/>
      <c r="N181" s="23"/>
    </row>
    <row r="182" spans="1:14" x14ac:dyDescent="0.25">
      <c r="A182" s="21" t="s">
        <v>3317</v>
      </c>
      <c r="B182" s="16" t="s">
        <v>3318</v>
      </c>
      <c r="C182" s="17">
        <v>1</v>
      </c>
      <c r="D182" s="22">
        <v>5.96</v>
      </c>
      <c r="E182" s="22">
        <v>5.96</v>
      </c>
      <c r="F182" s="17" t="s">
        <v>3319</v>
      </c>
      <c r="G182" s="16" t="s">
        <v>3320</v>
      </c>
      <c r="H182" s="21" t="s">
        <v>3321</v>
      </c>
      <c r="I182" s="16" t="s">
        <v>11</v>
      </c>
      <c r="J182" s="16" t="s">
        <v>130</v>
      </c>
      <c r="K182" s="16" t="s">
        <v>3322</v>
      </c>
      <c r="L182" s="16"/>
      <c r="M182" s="16"/>
      <c r="N182" s="23"/>
    </row>
    <row r="183" spans="1:14" x14ac:dyDescent="0.25">
      <c r="A183" s="21" t="s">
        <v>4402</v>
      </c>
      <c r="B183" s="16" t="s">
        <v>4403</v>
      </c>
      <c r="C183" s="17">
        <v>1</v>
      </c>
      <c r="D183" s="22">
        <v>42</v>
      </c>
      <c r="E183" s="22">
        <v>42</v>
      </c>
      <c r="F183" s="17">
        <v>10102</v>
      </c>
      <c r="G183" s="16" t="s">
        <v>83</v>
      </c>
      <c r="H183" s="21"/>
      <c r="I183" s="16" t="s">
        <v>11</v>
      </c>
      <c r="J183" s="16" t="s">
        <v>240</v>
      </c>
      <c r="K183" s="16" t="s">
        <v>1677</v>
      </c>
      <c r="L183" s="16"/>
      <c r="M183" s="16"/>
      <c r="N183" s="23"/>
    </row>
    <row r="184" spans="1:14" x14ac:dyDescent="0.25">
      <c r="A184" s="21" t="s">
        <v>3526</v>
      </c>
      <c r="B184" s="16" t="s">
        <v>3527</v>
      </c>
      <c r="C184" s="17">
        <v>1</v>
      </c>
      <c r="D184" s="22">
        <v>44.99</v>
      </c>
      <c r="E184" s="22">
        <v>44.99</v>
      </c>
      <c r="F184" s="17" t="s">
        <v>3528</v>
      </c>
      <c r="G184" s="16" t="s">
        <v>122</v>
      </c>
      <c r="H184" s="21" t="s">
        <v>55</v>
      </c>
      <c r="I184" s="16" t="s">
        <v>11</v>
      </c>
      <c r="J184" s="16" t="s">
        <v>263</v>
      </c>
      <c r="K184" s="16" t="s">
        <v>264</v>
      </c>
      <c r="L184" s="16"/>
      <c r="M184" s="16"/>
      <c r="N184" s="23"/>
    </row>
    <row r="185" spans="1:14" x14ac:dyDescent="0.25">
      <c r="A185" s="21" t="s">
        <v>3531</v>
      </c>
      <c r="B185" s="16" t="s">
        <v>3532</v>
      </c>
      <c r="C185" s="17">
        <v>2</v>
      </c>
      <c r="D185" s="22">
        <v>26.11</v>
      </c>
      <c r="E185" s="22">
        <v>52.22</v>
      </c>
      <c r="F185" s="17" t="s">
        <v>3528</v>
      </c>
      <c r="G185" s="16" t="s">
        <v>122</v>
      </c>
      <c r="H185" s="21" t="s">
        <v>40</v>
      </c>
      <c r="I185" s="16" t="s">
        <v>11</v>
      </c>
      <c r="J185" s="16" t="s">
        <v>263</v>
      </c>
      <c r="K185" s="16" t="s">
        <v>264</v>
      </c>
      <c r="L185" s="16"/>
      <c r="M185" s="16"/>
      <c r="N185" s="23"/>
    </row>
    <row r="186" spans="1:14" x14ac:dyDescent="0.25">
      <c r="A186" s="21" t="s">
        <v>4404</v>
      </c>
      <c r="B186" s="16" t="s">
        <v>4405</v>
      </c>
      <c r="C186" s="17">
        <v>1</v>
      </c>
      <c r="D186" s="22">
        <v>44.99</v>
      </c>
      <c r="E186" s="22">
        <v>44.99</v>
      </c>
      <c r="F186" s="17" t="s">
        <v>3528</v>
      </c>
      <c r="G186" s="16" t="s">
        <v>122</v>
      </c>
      <c r="H186" s="21" t="s">
        <v>27</v>
      </c>
      <c r="I186" s="16" t="s">
        <v>11</v>
      </c>
      <c r="J186" s="16" t="s">
        <v>263</v>
      </c>
      <c r="K186" s="16" t="s">
        <v>264</v>
      </c>
      <c r="L186" s="16"/>
      <c r="M186" s="16"/>
      <c r="N186" s="23"/>
    </row>
    <row r="187" spans="1:14" x14ac:dyDescent="0.25">
      <c r="A187" s="21" t="s">
        <v>3538</v>
      </c>
      <c r="B187" s="16" t="s">
        <v>3539</v>
      </c>
      <c r="C187" s="17">
        <v>6</v>
      </c>
      <c r="D187" s="22">
        <v>44.99</v>
      </c>
      <c r="E187" s="22">
        <v>269.94</v>
      </c>
      <c r="F187" s="17" t="s">
        <v>3535</v>
      </c>
      <c r="G187" s="16" t="s">
        <v>122</v>
      </c>
      <c r="H187" s="21" t="s">
        <v>40</v>
      </c>
      <c r="I187" s="16" t="s">
        <v>11</v>
      </c>
      <c r="J187" s="16" t="s">
        <v>263</v>
      </c>
      <c r="K187" s="16" t="s">
        <v>264</v>
      </c>
      <c r="L187" s="16"/>
      <c r="M187" s="16"/>
      <c r="N187" s="23"/>
    </row>
    <row r="188" spans="1:14" x14ac:dyDescent="0.25">
      <c r="A188" s="21" t="s">
        <v>4406</v>
      </c>
      <c r="B188" s="16" t="s">
        <v>4407</v>
      </c>
      <c r="C188" s="17">
        <v>4</v>
      </c>
      <c r="D188" s="22">
        <v>44.99</v>
      </c>
      <c r="E188" s="22">
        <v>179.96</v>
      </c>
      <c r="F188" s="17" t="s">
        <v>3535</v>
      </c>
      <c r="G188" s="16" t="s">
        <v>122</v>
      </c>
      <c r="H188" s="21" t="s">
        <v>47</v>
      </c>
      <c r="I188" s="16" t="s">
        <v>11</v>
      </c>
      <c r="J188" s="16" t="s">
        <v>263</v>
      </c>
      <c r="K188" s="16" t="s">
        <v>264</v>
      </c>
      <c r="L188" s="16"/>
      <c r="M188" s="16"/>
      <c r="N188" s="23"/>
    </row>
    <row r="189" spans="1:14" x14ac:dyDescent="0.25">
      <c r="A189" s="21" t="s">
        <v>4408</v>
      </c>
      <c r="B189" s="16" t="s">
        <v>4409</v>
      </c>
      <c r="C189" s="17">
        <v>3</v>
      </c>
      <c r="D189" s="22">
        <v>44.99</v>
      </c>
      <c r="E189" s="22">
        <v>134.97</v>
      </c>
      <c r="F189" s="17" t="s">
        <v>3535</v>
      </c>
      <c r="G189" s="16" t="s">
        <v>122</v>
      </c>
      <c r="H189" s="21" t="s">
        <v>27</v>
      </c>
      <c r="I189" s="16" t="s">
        <v>11</v>
      </c>
      <c r="J189" s="16" t="s">
        <v>263</v>
      </c>
      <c r="K189" s="16" t="s">
        <v>264</v>
      </c>
      <c r="L189" s="16"/>
      <c r="M189" s="16"/>
      <c r="N189" s="2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2"/>
  <sheetViews>
    <sheetView topLeftCell="K1" workbookViewId="0">
      <selection activeCell="N7" sqref="N7"/>
    </sheetView>
  </sheetViews>
  <sheetFormatPr defaultColWidth="76.28515625" defaultRowHeight="15" x14ac:dyDescent="0.25"/>
  <cols>
    <col min="1" max="1" width="14.140625" style="12" bestFit="1" customWidth="1"/>
    <col min="2" max="2" width="67.140625" style="12" bestFit="1" customWidth="1"/>
    <col min="3" max="3" width="12.42578125" style="12" bestFit="1" customWidth="1"/>
    <col min="4" max="4" width="15" style="12" bestFit="1" customWidth="1"/>
    <col min="5" max="5" width="21" style="12" bestFit="1" customWidth="1"/>
    <col min="6" max="6" width="21.7109375" style="12" bestFit="1" customWidth="1"/>
    <col min="7" max="7" width="13.140625" style="12" bestFit="1" customWidth="1"/>
    <col min="8" max="8" width="10.85546875" style="12" bestFit="1" customWidth="1"/>
    <col min="9" max="9" width="8.140625" style="12" bestFit="1" customWidth="1"/>
    <col min="10" max="10" width="17.5703125" style="12" bestFit="1" customWidth="1"/>
    <col min="11" max="11" width="39.5703125" style="12" bestFit="1" customWidth="1"/>
    <col min="12" max="12" width="27.5703125" style="12" bestFit="1" customWidth="1"/>
    <col min="13" max="13" width="73.85546875" style="12" bestFit="1" customWidth="1"/>
    <col min="14" max="14" width="48.140625" style="12" bestFit="1" customWidth="1"/>
    <col min="15" max="16384" width="76.28515625" style="12"/>
  </cols>
  <sheetData>
    <row r="1" spans="1:14" x14ac:dyDescent="0.25">
      <c r="A1" s="15" t="s">
        <v>12</v>
      </c>
      <c r="B1" s="15" t="s">
        <v>13</v>
      </c>
      <c r="C1" s="15" t="s">
        <v>14</v>
      </c>
      <c r="D1" s="15" t="s">
        <v>5</v>
      </c>
      <c r="E1" s="15" t="s">
        <v>9</v>
      </c>
      <c r="F1" s="15" t="s">
        <v>15</v>
      </c>
      <c r="G1" s="15" t="s">
        <v>16</v>
      </c>
      <c r="H1" s="15" t="s">
        <v>17</v>
      </c>
      <c r="I1" s="15" t="s">
        <v>10</v>
      </c>
      <c r="J1" s="15" t="s">
        <v>18</v>
      </c>
      <c r="K1" s="15" t="s">
        <v>19</v>
      </c>
      <c r="L1" s="15" t="s">
        <v>20</v>
      </c>
      <c r="M1" s="15" t="s">
        <v>21</v>
      </c>
      <c r="N1" s="15" t="s">
        <v>22</v>
      </c>
    </row>
    <row r="2" spans="1:14" x14ac:dyDescent="0.25">
      <c r="A2" s="21" t="s">
        <v>3334</v>
      </c>
      <c r="B2" s="16" t="s">
        <v>3335</v>
      </c>
      <c r="C2" s="17">
        <v>1</v>
      </c>
      <c r="D2" s="22">
        <v>26.99</v>
      </c>
      <c r="E2" s="22">
        <v>26.99</v>
      </c>
      <c r="F2" s="17" t="s">
        <v>3329</v>
      </c>
      <c r="G2" s="16" t="s">
        <v>31</v>
      </c>
      <c r="H2" s="21" t="s">
        <v>40</v>
      </c>
      <c r="I2" s="16" t="s">
        <v>11</v>
      </c>
      <c r="J2" s="16" t="s">
        <v>28</v>
      </c>
      <c r="K2" s="16" t="s">
        <v>29</v>
      </c>
      <c r="L2" s="16"/>
      <c r="M2" s="16"/>
      <c r="N2" s="23" t="str">
        <f>HYPERLINK("http://slimages.macys.com/is/image/MCY/19863901 ")</f>
        <v xml:space="preserve">http://slimages.macys.com/is/image/MCY/19863901 </v>
      </c>
    </row>
    <row r="3" spans="1:14" x14ac:dyDescent="0.25">
      <c r="A3" s="21" t="s">
        <v>3568</v>
      </c>
      <c r="B3" s="16" t="s">
        <v>3569</v>
      </c>
      <c r="C3" s="17">
        <v>3</v>
      </c>
      <c r="D3" s="22">
        <v>26.99</v>
      </c>
      <c r="E3" s="22">
        <v>80.97</v>
      </c>
      <c r="F3" s="17" t="s">
        <v>3567</v>
      </c>
      <c r="G3" s="16" t="s">
        <v>57</v>
      </c>
      <c r="H3" s="21" t="s">
        <v>40</v>
      </c>
      <c r="I3" s="16" t="s">
        <v>11</v>
      </c>
      <c r="J3" s="16" t="s">
        <v>28</v>
      </c>
      <c r="K3" s="16" t="s">
        <v>29</v>
      </c>
      <c r="L3" s="16"/>
      <c r="M3" s="16"/>
      <c r="N3" s="23" t="str">
        <f>HYPERLINK("http://slimages.macys.com/is/image/MCY/19863901 ")</f>
        <v xml:space="preserve">http://slimages.macys.com/is/image/MCY/19863901 </v>
      </c>
    </row>
    <row r="4" spans="1:14" x14ac:dyDescent="0.25">
      <c r="A4" s="21" t="s">
        <v>3770</v>
      </c>
      <c r="B4" s="16" t="s">
        <v>3771</v>
      </c>
      <c r="C4" s="17">
        <v>1</v>
      </c>
      <c r="D4" s="22">
        <v>26.99</v>
      </c>
      <c r="E4" s="22">
        <v>26.99</v>
      </c>
      <c r="F4" s="17" t="s">
        <v>3567</v>
      </c>
      <c r="G4" s="16" t="s">
        <v>57</v>
      </c>
      <c r="H4" s="21" t="s">
        <v>27</v>
      </c>
      <c r="I4" s="16" t="s">
        <v>11</v>
      </c>
      <c r="J4" s="16" t="s">
        <v>28</v>
      </c>
      <c r="K4" s="16" t="s">
        <v>29</v>
      </c>
      <c r="L4" s="16"/>
      <c r="M4" s="16"/>
      <c r="N4" s="23" t="str">
        <f>HYPERLINK("http://slimages.macys.com/is/image/MCY/19863892 ")</f>
        <v xml:space="preserve">http://slimages.macys.com/is/image/MCY/19863892 </v>
      </c>
    </row>
    <row r="5" spans="1:14" x14ac:dyDescent="0.25">
      <c r="A5" s="21" t="s">
        <v>3565</v>
      </c>
      <c r="B5" s="16" t="s">
        <v>3566</v>
      </c>
      <c r="C5" s="17">
        <v>5</v>
      </c>
      <c r="D5" s="22">
        <v>26.99</v>
      </c>
      <c r="E5" s="22">
        <v>134.94999999999999</v>
      </c>
      <c r="F5" s="17" t="s">
        <v>3567</v>
      </c>
      <c r="G5" s="16" t="s">
        <v>57</v>
      </c>
      <c r="H5" s="21" t="s">
        <v>87</v>
      </c>
      <c r="I5" s="16" t="s">
        <v>11</v>
      </c>
      <c r="J5" s="16" t="s">
        <v>28</v>
      </c>
      <c r="K5" s="16" t="s">
        <v>29</v>
      </c>
      <c r="L5" s="16"/>
      <c r="M5" s="16"/>
      <c r="N5" s="23" t="str">
        <f>HYPERLINK("http://slimages.macys.com/is/image/MCY/19863892 ")</f>
        <v xml:space="preserve">http://slimages.macys.com/is/image/MCY/19863892 </v>
      </c>
    </row>
    <row r="6" spans="1:14" x14ac:dyDescent="0.25">
      <c r="A6" s="21" t="s">
        <v>4421</v>
      </c>
      <c r="B6" s="16" t="s">
        <v>4422</v>
      </c>
      <c r="C6" s="17">
        <v>1</v>
      </c>
      <c r="D6" s="22">
        <v>44.99</v>
      </c>
      <c r="E6" s="22">
        <v>44.99</v>
      </c>
      <c r="F6" s="17" t="s">
        <v>30</v>
      </c>
      <c r="G6" s="16" t="s">
        <v>83</v>
      </c>
      <c r="H6" s="21" t="s">
        <v>40</v>
      </c>
      <c r="I6" s="16" t="s">
        <v>11</v>
      </c>
      <c r="J6" s="16" t="s">
        <v>28</v>
      </c>
      <c r="K6" s="16" t="s">
        <v>29</v>
      </c>
      <c r="L6" s="16"/>
      <c r="M6" s="16"/>
      <c r="N6" s="23" t="str">
        <f>HYPERLINK("http://slimages.macys.com/is/image/MCY/19661942 ")</f>
        <v xml:space="preserve">http://slimages.macys.com/is/image/MCY/19661942 </v>
      </c>
    </row>
    <row r="7" spans="1:14" ht="30" x14ac:dyDescent="0.25">
      <c r="A7" s="21" t="s">
        <v>3992</v>
      </c>
      <c r="B7" s="16" t="s">
        <v>3993</v>
      </c>
      <c r="C7" s="17">
        <v>1</v>
      </c>
      <c r="D7" s="22">
        <v>27.99</v>
      </c>
      <c r="E7" s="22">
        <v>27.99</v>
      </c>
      <c r="F7" s="17" t="s">
        <v>2994</v>
      </c>
      <c r="G7" s="16" t="s">
        <v>62</v>
      </c>
      <c r="H7" s="21" t="s">
        <v>27</v>
      </c>
      <c r="I7" s="16" t="s">
        <v>11</v>
      </c>
      <c r="J7" s="16" t="s">
        <v>28</v>
      </c>
      <c r="K7" s="16" t="s">
        <v>29</v>
      </c>
      <c r="L7" s="16"/>
      <c r="M7" s="16"/>
      <c r="N7" s="29" t="str">
        <f>HYPERLINK("http://slimages.macys.com/is/image/MCY/19485581 ")</f>
        <v xml:space="preserve">http://slimages.macys.com/is/image/MCY/19485581 </v>
      </c>
    </row>
    <row r="8" spans="1:14" x14ac:dyDescent="0.25">
      <c r="A8" s="21" t="s">
        <v>4431</v>
      </c>
      <c r="B8" s="16" t="s">
        <v>4432</v>
      </c>
      <c r="C8" s="17">
        <v>1</v>
      </c>
      <c r="D8" s="22">
        <v>27.99</v>
      </c>
      <c r="E8" s="22">
        <v>27.99</v>
      </c>
      <c r="F8" s="17" t="s">
        <v>2994</v>
      </c>
      <c r="G8" s="16" t="s">
        <v>62</v>
      </c>
      <c r="H8" s="21" t="s">
        <v>47</v>
      </c>
      <c r="I8" s="16" t="s">
        <v>11</v>
      </c>
      <c r="J8" s="16" t="s">
        <v>28</v>
      </c>
      <c r="K8" s="16" t="s">
        <v>29</v>
      </c>
      <c r="L8" s="16"/>
      <c r="M8" s="16"/>
      <c r="N8" s="23" t="str">
        <f>HYPERLINK("http://slimages.macys.com/is/image/MCY/19485581 ")</f>
        <v xml:space="preserve">http://slimages.macys.com/is/image/MCY/19485581 </v>
      </c>
    </row>
    <row r="9" spans="1:14" x14ac:dyDescent="0.25">
      <c r="A9" s="21" t="s">
        <v>3702</v>
      </c>
      <c r="B9" s="16" t="s">
        <v>3703</v>
      </c>
      <c r="C9" s="17">
        <v>3</v>
      </c>
      <c r="D9" s="22">
        <v>27.99</v>
      </c>
      <c r="E9" s="22">
        <v>83.97</v>
      </c>
      <c r="F9" s="17" t="s">
        <v>2994</v>
      </c>
      <c r="G9" s="16" t="s">
        <v>78</v>
      </c>
      <c r="H9" s="21" t="s">
        <v>87</v>
      </c>
      <c r="I9" s="16" t="s">
        <v>11</v>
      </c>
      <c r="J9" s="16" t="s">
        <v>28</v>
      </c>
      <c r="K9" s="16" t="s">
        <v>29</v>
      </c>
      <c r="L9" s="16"/>
      <c r="M9" s="16"/>
      <c r="N9" s="23" t="str">
        <f>HYPERLINK("http://slimages.macys.com/is/image/MCY/19485581 ")</f>
        <v xml:space="preserve">http://slimages.macys.com/is/image/MCY/19485581 </v>
      </c>
    </row>
    <row r="10" spans="1:14" x14ac:dyDescent="0.25">
      <c r="A10" s="21" t="s">
        <v>4429</v>
      </c>
      <c r="B10" s="16" t="s">
        <v>4430</v>
      </c>
      <c r="C10" s="17">
        <v>1</v>
      </c>
      <c r="D10" s="22">
        <v>27.99</v>
      </c>
      <c r="E10" s="22">
        <v>27.99</v>
      </c>
      <c r="F10" s="17" t="s">
        <v>589</v>
      </c>
      <c r="G10" s="16" t="s">
        <v>62</v>
      </c>
      <c r="H10" s="21" t="s">
        <v>32</v>
      </c>
      <c r="I10" s="16" t="s">
        <v>11</v>
      </c>
      <c r="J10" s="16" t="s">
        <v>28</v>
      </c>
      <c r="K10" s="16" t="s">
        <v>29</v>
      </c>
      <c r="L10" s="16"/>
      <c r="M10" s="16"/>
      <c r="N10" s="23" t="str">
        <f>HYPERLINK("http://slimages.macys.com/is/image/MCY/19331857 ")</f>
        <v xml:space="preserve">http://slimages.macys.com/is/image/MCY/19331857 </v>
      </c>
    </row>
    <row r="11" spans="1:14" x14ac:dyDescent="0.25">
      <c r="A11" s="21" t="s">
        <v>587</v>
      </c>
      <c r="B11" s="16" t="s">
        <v>588</v>
      </c>
      <c r="C11" s="17">
        <v>1</v>
      </c>
      <c r="D11" s="22">
        <v>27.99</v>
      </c>
      <c r="E11" s="22">
        <v>27.99</v>
      </c>
      <c r="F11" s="17" t="s">
        <v>589</v>
      </c>
      <c r="G11" s="16" t="s">
        <v>62</v>
      </c>
      <c r="H11" s="21" t="s">
        <v>27</v>
      </c>
      <c r="I11" s="16" t="s">
        <v>11</v>
      </c>
      <c r="J11" s="16" t="s">
        <v>28</v>
      </c>
      <c r="K11" s="16" t="s">
        <v>29</v>
      </c>
      <c r="L11" s="16"/>
      <c r="M11" s="16"/>
      <c r="N11" s="23" t="str">
        <f>HYPERLINK("http://slimages.macys.com/is/image/MCY/19331857 ")</f>
        <v xml:space="preserve">http://slimages.macys.com/is/image/MCY/19331857 </v>
      </c>
    </row>
    <row r="12" spans="1:14" x14ac:dyDescent="0.25">
      <c r="A12" s="21" t="s">
        <v>590</v>
      </c>
      <c r="B12" s="16" t="s">
        <v>591</v>
      </c>
      <c r="C12" s="17">
        <v>1</v>
      </c>
      <c r="D12" s="22">
        <v>27.99</v>
      </c>
      <c r="E12" s="22">
        <v>27.99</v>
      </c>
      <c r="F12" s="17" t="s">
        <v>589</v>
      </c>
      <c r="G12" s="16" t="s">
        <v>62</v>
      </c>
      <c r="H12" s="21" t="s">
        <v>87</v>
      </c>
      <c r="I12" s="16" t="s">
        <v>11</v>
      </c>
      <c r="J12" s="16" t="s">
        <v>28</v>
      </c>
      <c r="K12" s="16" t="s">
        <v>29</v>
      </c>
      <c r="L12" s="16"/>
      <c r="M12" s="16"/>
      <c r="N12" s="23" t="str">
        <f>HYPERLINK("http://slimages.macys.com/is/image/MCY/19331857 ")</f>
        <v xml:space="preserve">http://slimages.macys.com/is/image/MCY/19331857 </v>
      </c>
    </row>
    <row r="13" spans="1:14" x14ac:dyDescent="0.25">
      <c r="A13" s="21" t="s">
        <v>3768</v>
      </c>
      <c r="B13" s="16" t="s">
        <v>3769</v>
      </c>
      <c r="C13" s="17">
        <v>1</v>
      </c>
      <c r="D13" s="22">
        <v>26.99</v>
      </c>
      <c r="E13" s="22">
        <v>26.99</v>
      </c>
      <c r="F13" s="17" t="s">
        <v>3562</v>
      </c>
      <c r="G13" s="16" t="s">
        <v>488</v>
      </c>
      <c r="H13" s="21" t="s">
        <v>27</v>
      </c>
      <c r="I13" s="16" t="s">
        <v>11</v>
      </c>
      <c r="J13" s="16" t="s">
        <v>28</v>
      </c>
      <c r="K13" s="16" t="s">
        <v>29</v>
      </c>
      <c r="L13" s="16" t="s">
        <v>111</v>
      </c>
      <c r="M13" s="16" t="s">
        <v>303</v>
      </c>
      <c r="N13" s="23" t="str">
        <f>HYPERLINK("http://slimages.macys.com/is/image/MCY/16479393 ")</f>
        <v xml:space="preserve">http://slimages.macys.com/is/image/MCY/16479393 </v>
      </c>
    </row>
    <row r="14" spans="1:14" x14ac:dyDescent="0.25">
      <c r="A14" s="21" t="s">
        <v>2057</v>
      </c>
      <c r="B14" s="16" t="s">
        <v>2058</v>
      </c>
      <c r="C14" s="17">
        <v>1</v>
      </c>
      <c r="D14" s="22">
        <v>34.99</v>
      </c>
      <c r="E14" s="22">
        <v>34.99</v>
      </c>
      <c r="F14" s="17" t="s">
        <v>52</v>
      </c>
      <c r="G14" s="16" t="s">
        <v>31</v>
      </c>
      <c r="H14" s="21" t="s">
        <v>40</v>
      </c>
      <c r="I14" s="16" t="s">
        <v>11</v>
      </c>
      <c r="J14" s="16" t="s">
        <v>28</v>
      </c>
      <c r="K14" s="16" t="s">
        <v>29</v>
      </c>
      <c r="L14" s="16"/>
      <c r="M14" s="16"/>
      <c r="N14" s="23" t="str">
        <f>HYPERLINK("http://slimages.macys.com/is/image/MCY/18574724 ")</f>
        <v xml:space="preserve">http://slimages.macys.com/is/image/MCY/18574724 </v>
      </c>
    </row>
    <row r="15" spans="1:14" x14ac:dyDescent="0.25">
      <c r="A15" s="21" t="s">
        <v>53</v>
      </c>
      <c r="B15" s="16" t="s">
        <v>54</v>
      </c>
      <c r="C15" s="17">
        <v>1</v>
      </c>
      <c r="D15" s="22">
        <v>34.99</v>
      </c>
      <c r="E15" s="22">
        <v>34.99</v>
      </c>
      <c r="F15" s="17" t="s">
        <v>52</v>
      </c>
      <c r="G15" s="16" t="s">
        <v>31</v>
      </c>
      <c r="H15" s="21" t="s">
        <v>55</v>
      </c>
      <c r="I15" s="16" t="s">
        <v>11</v>
      </c>
      <c r="J15" s="16" t="s">
        <v>28</v>
      </c>
      <c r="K15" s="16" t="s">
        <v>29</v>
      </c>
      <c r="L15" s="16"/>
      <c r="M15" s="16"/>
      <c r="N15" s="23" t="str">
        <f>HYPERLINK("http://slimages.macys.com/is/image/MCY/18574724 ")</f>
        <v xml:space="preserve">http://slimages.macys.com/is/image/MCY/18574724 </v>
      </c>
    </row>
    <row r="16" spans="1:14" x14ac:dyDescent="0.25">
      <c r="A16" s="21" t="s">
        <v>41</v>
      </c>
      <c r="B16" s="16" t="s">
        <v>42</v>
      </c>
      <c r="C16" s="17">
        <v>1</v>
      </c>
      <c r="D16" s="22">
        <v>34.99</v>
      </c>
      <c r="E16" s="22">
        <v>34.99</v>
      </c>
      <c r="F16" s="17" t="s">
        <v>43</v>
      </c>
      <c r="G16" s="16" t="s">
        <v>44</v>
      </c>
      <c r="H16" s="21" t="s">
        <v>40</v>
      </c>
      <c r="I16" s="16" t="s">
        <v>11</v>
      </c>
      <c r="J16" s="16" t="s">
        <v>28</v>
      </c>
      <c r="K16" s="16" t="s">
        <v>29</v>
      </c>
      <c r="L16" s="16"/>
      <c r="M16" s="16"/>
      <c r="N16" s="23" t="str">
        <f>HYPERLINK("http://slimages.macys.com/is/image/MCY/18574724 ")</f>
        <v xml:space="preserve">http://slimages.macys.com/is/image/MCY/18574724 </v>
      </c>
    </row>
    <row r="17" spans="1:14" x14ac:dyDescent="0.25">
      <c r="A17" s="21" t="s">
        <v>566</v>
      </c>
      <c r="B17" s="16" t="s">
        <v>567</v>
      </c>
      <c r="C17" s="17">
        <v>1</v>
      </c>
      <c r="D17" s="22">
        <v>34.99</v>
      </c>
      <c r="E17" s="22">
        <v>34.99</v>
      </c>
      <c r="F17" s="17" t="s">
        <v>43</v>
      </c>
      <c r="G17" s="16" t="s">
        <v>44</v>
      </c>
      <c r="H17" s="21" t="s">
        <v>55</v>
      </c>
      <c r="I17" s="16" t="s">
        <v>11</v>
      </c>
      <c r="J17" s="16" t="s">
        <v>28</v>
      </c>
      <c r="K17" s="16" t="s">
        <v>29</v>
      </c>
      <c r="L17" s="16"/>
      <c r="M17" s="16"/>
      <c r="N17" s="23" t="str">
        <f>HYPERLINK("http://slimages.macys.com/is/image/MCY/18574724 ")</f>
        <v xml:space="preserve">http://slimages.macys.com/is/image/MCY/18574724 </v>
      </c>
    </row>
    <row r="18" spans="1:14" x14ac:dyDescent="0.25">
      <c r="A18" s="21" t="s">
        <v>917</v>
      </c>
      <c r="B18" s="16" t="s">
        <v>918</v>
      </c>
      <c r="C18" s="17">
        <v>1</v>
      </c>
      <c r="D18" s="22">
        <v>34.99</v>
      </c>
      <c r="E18" s="22">
        <v>34.99</v>
      </c>
      <c r="F18" s="17" t="s">
        <v>52</v>
      </c>
      <c r="G18" s="16" t="s">
        <v>82</v>
      </c>
      <c r="H18" s="21" t="s">
        <v>55</v>
      </c>
      <c r="I18" s="16" t="s">
        <v>11</v>
      </c>
      <c r="J18" s="16" t="s">
        <v>28</v>
      </c>
      <c r="K18" s="16" t="s">
        <v>29</v>
      </c>
      <c r="L18" s="16"/>
      <c r="M18" s="16"/>
      <c r="N18" s="23" t="str">
        <f>HYPERLINK("http://slimages.macys.com/is/image/MCY/18574725 ")</f>
        <v xml:space="preserve">http://slimages.macys.com/is/image/MCY/18574725 </v>
      </c>
    </row>
    <row r="19" spans="1:14" x14ac:dyDescent="0.25">
      <c r="A19" s="21" t="s">
        <v>1141</v>
      </c>
      <c r="B19" s="16" t="s">
        <v>1142</v>
      </c>
      <c r="C19" s="17">
        <v>1</v>
      </c>
      <c r="D19" s="22">
        <v>36.99</v>
      </c>
      <c r="E19" s="22">
        <v>36.99</v>
      </c>
      <c r="F19" s="17" t="s">
        <v>921</v>
      </c>
      <c r="G19" s="16" t="s">
        <v>488</v>
      </c>
      <c r="H19" s="21" t="s">
        <v>40</v>
      </c>
      <c r="I19" s="16" t="s">
        <v>11</v>
      </c>
      <c r="J19" s="16" t="s">
        <v>28</v>
      </c>
      <c r="K19" s="16" t="s">
        <v>29</v>
      </c>
      <c r="L19" s="16"/>
      <c r="M19" s="16"/>
      <c r="N19" s="23" t="str">
        <f>HYPERLINK("http://slimages.macys.com/is/image/MCY/20649753 ")</f>
        <v xml:space="preserve">http://slimages.macys.com/is/image/MCY/20649753 </v>
      </c>
    </row>
    <row r="20" spans="1:14" x14ac:dyDescent="0.25">
      <c r="A20" s="21" t="s">
        <v>2756</v>
      </c>
      <c r="B20" s="16" t="s">
        <v>2757</v>
      </c>
      <c r="C20" s="17">
        <v>1</v>
      </c>
      <c r="D20" s="22">
        <v>49.99</v>
      </c>
      <c r="E20" s="22">
        <v>49.99</v>
      </c>
      <c r="F20" s="17" t="s">
        <v>81</v>
      </c>
      <c r="G20" s="16" t="s">
        <v>31</v>
      </c>
      <c r="H20" s="21" t="s">
        <v>27</v>
      </c>
      <c r="I20" s="16" t="s">
        <v>11</v>
      </c>
      <c r="J20" s="16" t="s">
        <v>28</v>
      </c>
      <c r="K20" s="16" t="s">
        <v>29</v>
      </c>
      <c r="L20" s="16"/>
      <c r="M20" s="16"/>
      <c r="N20" s="23" t="str">
        <f t="shared" ref="N20:N30" si="0">HYPERLINK("http://slimages.macys.com/is/image/MCY/19339137 ")</f>
        <v xml:space="preserve">http://slimages.macys.com/is/image/MCY/19339137 </v>
      </c>
    </row>
    <row r="21" spans="1:14" x14ac:dyDescent="0.25">
      <c r="A21" s="21" t="s">
        <v>904</v>
      </c>
      <c r="B21" s="16" t="s">
        <v>905</v>
      </c>
      <c r="C21" s="17">
        <v>1</v>
      </c>
      <c r="D21" s="22">
        <v>49.99</v>
      </c>
      <c r="E21" s="22">
        <v>49.99</v>
      </c>
      <c r="F21" s="17" t="s">
        <v>81</v>
      </c>
      <c r="G21" s="16" t="s">
        <v>31</v>
      </c>
      <c r="H21" s="21" t="s">
        <v>47</v>
      </c>
      <c r="I21" s="16" t="s">
        <v>11</v>
      </c>
      <c r="J21" s="16" t="s">
        <v>28</v>
      </c>
      <c r="K21" s="16" t="s">
        <v>29</v>
      </c>
      <c r="L21" s="16"/>
      <c r="M21" s="16"/>
      <c r="N21" s="23" t="str">
        <f t="shared" si="0"/>
        <v xml:space="preserve">http://slimages.macys.com/is/image/MCY/19339137 </v>
      </c>
    </row>
    <row r="22" spans="1:14" x14ac:dyDescent="0.25">
      <c r="A22" s="21" t="s">
        <v>2986</v>
      </c>
      <c r="B22" s="16" t="s">
        <v>2987</v>
      </c>
      <c r="C22" s="17">
        <v>1</v>
      </c>
      <c r="D22" s="22">
        <v>49.99</v>
      </c>
      <c r="E22" s="22">
        <v>49.99</v>
      </c>
      <c r="F22" s="17" t="s">
        <v>908</v>
      </c>
      <c r="G22" s="16" t="s">
        <v>488</v>
      </c>
      <c r="H22" s="21" t="s">
        <v>40</v>
      </c>
      <c r="I22" s="16" t="s">
        <v>11</v>
      </c>
      <c r="J22" s="16" t="s">
        <v>28</v>
      </c>
      <c r="K22" s="16" t="s">
        <v>29</v>
      </c>
      <c r="L22" s="16"/>
      <c r="M22" s="16"/>
      <c r="N22" s="23" t="str">
        <f t="shared" si="0"/>
        <v xml:space="preserve">http://slimages.macys.com/is/image/MCY/19339137 </v>
      </c>
    </row>
    <row r="23" spans="1:14" x14ac:dyDescent="0.25">
      <c r="A23" s="21" t="s">
        <v>906</v>
      </c>
      <c r="B23" s="16" t="s">
        <v>907</v>
      </c>
      <c r="C23" s="17">
        <v>1</v>
      </c>
      <c r="D23" s="22">
        <v>49.99</v>
      </c>
      <c r="E23" s="22">
        <v>49.99</v>
      </c>
      <c r="F23" s="17" t="s">
        <v>908</v>
      </c>
      <c r="G23" s="16" t="s">
        <v>488</v>
      </c>
      <c r="H23" s="21" t="s">
        <v>87</v>
      </c>
      <c r="I23" s="16" t="s">
        <v>11</v>
      </c>
      <c r="J23" s="16" t="s">
        <v>28</v>
      </c>
      <c r="K23" s="16" t="s">
        <v>29</v>
      </c>
      <c r="L23" s="16"/>
      <c r="M23" s="16"/>
      <c r="N23" s="23" t="str">
        <f t="shared" si="0"/>
        <v xml:space="preserve">http://slimages.macys.com/is/image/MCY/19339137 </v>
      </c>
    </row>
    <row r="24" spans="1:14" x14ac:dyDescent="0.25">
      <c r="A24" s="21" t="s">
        <v>3292</v>
      </c>
      <c r="B24" s="16" t="s">
        <v>3293</v>
      </c>
      <c r="C24" s="17">
        <v>2</v>
      </c>
      <c r="D24" s="22">
        <v>49.99</v>
      </c>
      <c r="E24" s="22">
        <v>99.98</v>
      </c>
      <c r="F24" s="17" t="s">
        <v>81</v>
      </c>
      <c r="G24" s="16" t="s">
        <v>82</v>
      </c>
      <c r="H24" s="21" t="s">
        <v>32</v>
      </c>
      <c r="I24" s="16" t="s">
        <v>11</v>
      </c>
      <c r="J24" s="16" t="s">
        <v>28</v>
      </c>
      <c r="K24" s="16" t="s">
        <v>29</v>
      </c>
      <c r="L24" s="16"/>
      <c r="M24" s="16"/>
      <c r="N24" s="23" t="str">
        <f t="shared" si="0"/>
        <v xml:space="preserve">http://slimages.macys.com/is/image/MCY/19339137 </v>
      </c>
    </row>
    <row r="25" spans="1:14" x14ac:dyDescent="0.25">
      <c r="A25" s="21" t="s">
        <v>79</v>
      </c>
      <c r="B25" s="16" t="s">
        <v>80</v>
      </c>
      <c r="C25" s="17">
        <v>4</v>
      </c>
      <c r="D25" s="22">
        <v>49.99</v>
      </c>
      <c r="E25" s="22">
        <v>199.96</v>
      </c>
      <c r="F25" s="17" t="s">
        <v>81</v>
      </c>
      <c r="G25" s="16" t="s">
        <v>82</v>
      </c>
      <c r="H25" s="21" t="s">
        <v>40</v>
      </c>
      <c r="I25" s="16" t="s">
        <v>11</v>
      </c>
      <c r="J25" s="16" t="s">
        <v>28</v>
      </c>
      <c r="K25" s="16" t="s">
        <v>29</v>
      </c>
      <c r="L25" s="16"/>
      <c r="M25" s="16"/>
      <c r="N25" s="23" t="str">
        <f t="shared" si="0"/>
        <v xml:space="preserve">http://slimages.macys.com/is/image/MCY/19339137 </v>
      </c>
    </row>
    <row r="26" spans="1:14" x14ac:dyDescent="0.25">
      <c r="A26" s="21" t="s">
        <v>3286</v>
      </c>
      <c r="B26" s="16" t="s">
        <v>3287</v>
      </c>
      <c r="C26" s="17">
        <v>1</v>
      </c>
      <c r="D26" s="22">
        <v>49.99</v>
      </c>
      <c r="E26" s="22">
        <v>49.99</v>
      </c>
      <c r="F26" s="17" t="s">
        <v>81</v>
      </c>
      <c r="G26" s="16" t="s">
        <v>82</v>
      </c>
      <c r="H26" s="21" t="s">
        <v>55</v>
      </c>
      <c r="I26" s="16" t="s">
        <v>11</v>
      </c>
      <c r="J26" s="16" t="s">
        <v>28</v>
      </c>
      <c r="K26" s="16" t="s">
        <v>29</v>
      </c>
      <c r="L26" s="16"/>
      <c r="M26" s="16"/>
      <c r="N26" s="23" t="str">
        <f t="shared" si="0"/>
        <v xml:space="preserve">http://slimages.macys.com/is/image/MCY/19339137 </v>
      </c>
    </row>
    <row r="27" spans="1:14" x14ac:dyDescent="0.25">
      <c r="A27" s="21" t="s">
        <v>4423</v>
      </c>
      <c r="B27" s="16" t="s">
        <v>4424</v>
      </c>
      <c r="C27" s="17">
        <v>1</v>
      </c>
      <c r="D27" s="22">
        <v>49.99</v>
      </c>
      <c r="E27" s="22">
        <v>49.99</v>
      </c>
      <c r="F27" s="17" t="s">
        <v>81</v>
      </c>
      <c r="G27" s="16" t="s">
        <v>82</v>
      </c>
      <c r="H27" s="21" t="s">
        <v>47</v>
      </c>
      <c r="I27" s="16" t="s">
        <v>11</v>
      </c>
      <c r="J27" s="16" t="s">
        <v>28</v>
      </c>
      <c r="K27" s="16" t="s">
        <v>29</v>
      </c>
      <c r="L27" s="16"/>
      <c r="M27" s="16"/>
      <c r="N27" s="23" t="str">
        <f t="shared" si="0"/>
        <v xml:space="preserve">http://slimages.macys.com/is/image/MCY/19339137 </v>
      </c>
    </row>
    <row r="28" spans="1:14" x14ac:dyDescent="0.25">
      <c r="A28" s="21" t="s">
        <v>3288</v>
      </c>
      <c r="B28" s="16" t="s">
        <v>3289</v>
      </c>
      <c r="C28" s="17">
        <v>1</v>
      </c>
      <c r="D28" s="22">
        <v>49.99</v>
      </c>
      <c r="E28" s="22">
        <v>49.99</v>
      </c>
      <c r="F28" s="17" t="s">
        <v>908</v>
      </c>
      <c r="G28" s="16" t="s">
        <v>127</v>
      </c>
      <c r="H28" s="21" t="s">
        <v>32</v>
      </c>
      <c r="I28" s="16" t="s">
        <v>11</v>
      </c>
      <c r="J28" s="16" t="s">
        <v>28</v>
      </c>
      <c r="K28" s="16" t="s">
        <v>29</v>
      </c>
      <c r="L28" s="16"/>
      <c r="M28" s="16"/>
      <c r="N28" s="23" t="str">
        <f t="shared" si="0"/>
        <v xml:space="preserve">http://slimages.macys.com/is/image/MCY/19339137 </v>
      </c>
    </row>
    <row r="29" spans="1:14" x14ac:dyDescent="0.25">
      <c r="A29" s="21" t="s">
        <v>3284</v>
      </c>
      <c r="B29" s="16" t="s">
        <v>3285</v>
      </c>
      <c r="C29" s="17">
        <v>2</v>
      </c>
      <c r="D29" s="22">
        <v>49.99</v>
      </c>
      <c r="E29" s="22">
        <v>99.98</v>
      </c>
      <c r="F29" s="17" t="s">
        <v>908</v>
      </c>
      <c r="G29" s="16" t="s">
        <v>127</v>
      </c>
      <c r="H29" s="21" t="s">
        <v>27</v>
      </c>
      <c r="I29" s="16" t="s">
        <v>11</v>
      </c>
      <c r="J29" s="16" t="s">
        <v>28</v>
      </c>
      <c r="K29" s="16" t="s">
        <v>29</v>
      </c>
      <c r="L29" s="16"/>
      <c r="M29" s="16"/>
      <c r="N29" s="23" t="str">
        <f t="shared" si="0"/>
        <v xml:space="preserve">http://slimages.macys.com/is/image/MCY/19339137 </v>
      </c>
    </row>
    <row r="30" spans="1:14" x14ac:dyDescent="0.25">
      <c r="A30" s="21" t="s">
        <v>3290</v>
      </c>
      <c r="B30" s="16" t="s">
        <v>3291</v>
      </c>
      <c r="C30" s="17">
        <v>1</v>
      </c>
      <c r="D30" s="22">
        <v>49.99</v>
      </c>
      <c r="E30" s="22">
        <v>49.99</v>
      </c>
      <c r="F30" s="17" t="s">
        <v>908</v>
      </c>
      <c r="G30" s="16" t="s">
        <v>127</v>
      </c>
      <c r="H30" s="21" t="s">
        <v>47</v>
      </c>
      <c r="I30" s="16" t="s">
        <v>11</v>
      </c>
      <c r="J30" s="16" t="s">
        <v>28</v>
      </c>
      <c r="K30" s="16" t="s">
        <v>29</v>
      </c>
      <c r="L30" s="16"/>
      <c r="M30" s="16"/>
      <c r="N30" s="23" t="str">
        <f t="shared" si="0"/>
        <v xml:space="preserve">http://slimages.macys.com/is/image/MCY/19339137 </v>
      </c>
    </row>
    <row r="31" spans="1:14" x14ac:dyDescent="0.25">
      <c r="A31" s="21" t="s">
        <v>4425</v>
      </c>
      <c r="B31" s="16" t="s">
        <v>4426</v>
      </c>
      <c r="C31" s="17">
        <v>1</v>
      </c>
      <c r="D31" s="22">
        <v>36.99</v>
      </c>
      <c r="E31" s="22">
        <v>36.99</v>
      </c>
      <c r="F31" s="17" t="s">
        <v>1656</v>
      </c>
      <c r="G31" s="16" t="s">
        <v>76</v>
      </c>
      <c r="H31" s="21" t="s">
        <v>55</v>
      </c>
      <c r="I31" s="16" t="s">
        <v>11</v>
      </c>
      <c r="J31" s="16" t="s">
        <v>28</v>
      </c>
      <c r="K31" s="16" t="s">
        <v>29</v>
      </c>
      <c r="L31" s="16"/>
      <c r="M31" s="16"/>
      <c r="N31" s="23" t="str">
        <f>HYPERLINK("http://slimages.macys.com/is/image/MCY/18682567 ")</f>
        <v xml:space="preserve">http://slimages.macys.com/is/image/MCY/18682567 </v>
      </c>
    </row>
    <row r="32" spans="1:14" x14ac:dyDescent="0.25">
      <c r="A32" s="21" t="s">
        <v>3959</v>
      </c>
      <c r="B32" s="16" t="s">
        <v>3960</v>
      </c>
      <c r="C32" s="17">
        <v>2</v>
      </c>
      <c r="D32" s="22">
        <v>24.99</v>
      </c>
      <c r="E32" s="22">
        <v>49.98</v>
      </c>
      <c r="F32" s="17" t="s">
        <v>3896</v>
      </c>
      <c r="G32" s="16" t="s">
        <v>488</v>
      </c>
      <c r="H32" s="21" t="s">
        <v>286</v>
      </c>
      <c r="I32" s="16" t="s">
        <v>11</v>
      </c>
      <c r="J32" s="16" t="s">
        <v>28</v>
      </c>
      <c r="K32" s="16" t="s">
        <v>29</v>
      </c>
      <c r="L32" s="16"/>
      <c r="M32" s="16"/>
      <c r="N32" s="23" t="str">
        <f>HYPERLINK("http://slimages.macys.com/is/image/MCY/18332371 ")</f>
        <v xml:space="preserve">http://slimages.macys.com/is/image/MCY/18332371 </v>
      </c>
    </row>
    <row r="33" spans="1:14" x14ac:dyDescent="0.25">
      <c r="A33" s="21" t="s">
        <v>3894</v>
      </c>
      <c r="B33" s="16" t="s">
        <v>3895</v>
      </c>
      <c r="C33" s="17">
        <v>2</v>
      </c>
      <c r="D33" s="22">
        <v>24.99</v>
      </c>
      <c r="E33" s="22">
        <v>49.98</v>
      </c>
      <c r="F33" s="17" t="s">
        <v>3896</v>
      </c>
      <c r="G33" s="16" t="s">
        <v>488</v>
      </c>
      <c r="H33" s="21" t="s">
        <v>158</v>
      </c>
      <c r="I33" s="16" t="s">
        <v>11</v>
      </c>
      <c r="J33" s="16" t="s">
        <v>28</v>
      </c>
      <c r="K33" s="16" t="s">
        <v>29</v>
      </c>
      <c r="L33" s="16"/>
      <c r="M33" s="16"/>
      <c r="N33" s="23" t="str">
        <f>HYPERLINK("http://slimages.macys.com/is/image/MCY/18332371 ")</f>
        <v xml:space="preserve">http://slimages.macys.com/is/image/MCY/18332371 </v>
      </c>
    </row>
    <row r="34" spans="1:14" x14ac:dyDescent="0.25">
      <c r="A34" s="21" t="s">
        <v>4439</v>
      </c>
      <c r="B34" s="16" t="s">
        <v>4440</v>
      </c>
      <c r="C34" s="17">
        <v>1</v>
      </c>
      <c r="D34" s="22">
        <v>27.99</v>
      </c>
      <c r="E34" s="22">
        <v>27.99</v>
      </c>
      <c r="F34" s="17" t="s">
        <v>4438</v>
      </c>
      <c r="G34" s="16" t="s">
        <v>270</v>
      </c>
      <c r="H34" s="21" t="s">
        <v>27</v>
      </c>
      <c r="I34" s="16" t="s">
        <v>11</v>
      </c>
      <c r="J34" s="16" t="s">
        <v>28</v>
      </c>
      <c r="K34" s="16" t="s">
        <v>29</v>
      </c>
      <c r="L34" s="16"/>
      <c r="M34" s="16"/>
      <c r="N34" s="23" t="str">
        <f>HYPERLINK("http://slimages.macys.com/is/image/MCY/19600932 ")</f>
        <v xml:space="preserve">http://slimages.macys.com/is/image/MCY/19600932 </v>
      </c>
    </row>
    <row r="35" spans="1:14" x14ac:dyDescent="0.25">
      <c r="A35" s="21" t="s">
        <v>4436</v>
      </c>
      <c r="B35" s="16" t="s">
        <v>4437</v>
      </c>
      <c r="C35" s="17">
        <v>1</v>
      </c>
      <c r="D35" s="22">
        <v>27.99</v>
      </c>
      <c r="E35" s="22">
        <v>27.99</v>
      </c>
      <c r="F35" s="17" t="s">
        <v>4438</v>
      </c>
      <c r="G35" s="16" t="s">
        <v>270</v>
      </c>
      <c r="H35" s="21" t="s">
        <v>47</v>
      </c>
      <c r="I35" s="16" t="s">
        <v>11</v>
      </c>
      <c r="J35" s="16" t="s">
        <v>28</v>
      </c>
      <c r="K35" s="16" t="s">
        <v>29</v>
      </c>
      <c r="L35" s="16"/>
      <c r="M35" s="16"/>
      <c r="N35" s="23" t="str">
        <f>HYPERLINK("http://slimages.macys.com/is/image/MCY/19600932 ")</f>
        <v xml:space="preserve">http://slimages.macys.com/is/image/MCY/19600932 </v>
      </c>
    </row>
    <row r="36" spans="1:14" x14ac:dyDescent="0.25">
      <c r="A36" s="21" t="s">
        <v>4433</v>
      </c>
      <c r="B36" s="16" t="s">
        <v>4434</v>
      </c>
      <c r="C36" s="17">
        <v>1</v>
      </c>
      <c r="D36" s="22">
        <v>27.99</v>
      </c>
      <c r="E36" s="22">
        <v>27.99</v>
      </c>
      <c r="F36" s="17" t="s">
        <v>4435</v>
      </c>
      <c r="G36" s="16" t="s">
        <v>83</v>
      </c>
      <c r="H36" s="21" t="s">
        <v>32</v>
      </c>
      <c r="I36" s="16" t="s">
        <v>11</v>
      </c>
      <c r="J36" s="16" t="s">
        <v>28</v>
      </c>
      <c r="K36" s="16" t="s">
        <v>29</v>
      </c>
      <c r="L36" s="16"/>
      <c r="M36" s="16"/>
      <c r="N36" s="23" t="str">
        <f>HYPERLINK("http://slimages.macys.com/is/image/MCY/19600932 ")</f>
        <v xml:space="preserve">http://slimages.macys.com/is/image/MCY/19600932 </v>
      </c>
    </row>
    <row r="37" spans="1:14" x14ac:dyDescent="0.25">
      <c r="A37" s="21" t="s">
        <v>894</v>
      </c>
      <c r="B37" s="16" t="s">
        <v>895</v>
      </c>
      <c r="C37" s="17">
        <v>1</v>
      </c>
      <c r="D37" s="22">
        <v>44.99</v>
      </c>
      <c r="E37" s="22">
        <v>44.99</v>
      </c>
      <c r="F37" s="17" t="s">
        <v>896</v>
      </c>
      <c r="G37" s="16" t="s">
        <v>57</v>
      </c>
      <c r="H37" s="21" t="s">
        <v>32</v>
      </c>
      <c r="I37" s="16" t="s">
        <v>11</v>
      </c>
      <c r="J37" s="16" t="s">
        <v>28</v>
      </c>
      <c r="K37" s="16" t="s">
        <v>29</v>
      </c>
      <c r="L37" s="16"/>
      <c r="M37" s="16"/>
      <c r="N37" s="23" t="str">
        <f>HYPERLINK("http://slimages.macys.com/is/image/MCY/19287430 ")</f>
        <v xml:space="preserve">http://slimages.macys.com/is/image/MCY/19287430 </v>
      </c>
    </row>
    <row r="38" spans="1:14" x14ac:dyDescent="0.25">
      <c r="A38" s="21" t="s">
        <v>1403</v>
      </c>
      <c r="B38" s="16" t="s">
        <v>1404</v>
      </c>
      <c r="C38" s="17">
        <v>1</v>
      </c>
      <c r="D38" s="22">
        <v>44.99</v>
      </c>
      <c r="E38" s="22">
        <v>44.99</v>
      </c>
      <c r="F38" s="17" t="s">
        <v>896</v>
      </c>
      <c r="G38" s="16" t="s">
        <v>57</v>
      </c>
      <c r="H38" s="21" t="s">
        <v>55</v>
      </c>
      <c r="I38" s="16" t="s">
        <v>11</v>
      </c>
      <c r="J38" s="16" t="s">
        <v>28</v>
      </c>
      <c r="K38" s="16" t="s">
        <v>29</v>
      </c>
      <c r="L38" s="16"/>
      <c r="M38" s="16"/>
      <c r="N38" s="23" t="str">
        <f>HYPERLINK("http://slimages.macys.com/is/image/MCY/19287430 ")</f>
        <v xml:space="preserve">http://slimages.macys.com/is/image/MCY/19287430 </v>
      </c>
    </row>
    <row r="39" spans="1:14" x14ac:dyDescent="0.25">
      <c r="A39" s="21" t="s">
        <v>3325</v>
      </c>
      <c r="B39" s="16" t="s">
        <v>3326</v>
      </c>
      <c r="C39" s="17">
        <v>7</v>
      </c>
      <c r="D39" s="22">
        <v>34.99</v>
      </c>
      <c r="E39" s="22">
        <v>244.93</v>
      </c>
      <c r="F39" s="17" t="s">
        <v>98</v>
      </c>
      <c r="G39" s="16" t="s">
        <v>31</v>
      </c>
      <c r="H39" s="21" t="s">
        <v>40</v>
      </c>
      <c r="I39" s="16" t="s">
        <v>11</v>
      </c>
      <c r="J39" s="16" t="s">
        <v>28</v>
      </c>
      <c r="K39" s="16" t="s">
        <v>29</v>
      </c>
      <c r="L39" s="16"/>
      <c r="M39" s="16"/>
      <c r="N39" s="23" t="str">
        <f>HYPERLINK("http://slimages.macys.com/is/image/MCY/19339149 ")</f>
        <v xml:space="preserve">http://slimages.macys.com/is/image/MCY/19339149 </v>
      </c>
    </row>
    <row r="40" spans="1:14" x14ac:dyDescent="0.25">
      <c r="A40" s="21" t="s">
        <v>3761</v>
      </c>
      <c r="B40" s="16" t="s">
        <v>3762</v>
      </c>
      <c r="C40" s="17">
        <v>4</v>
      </c>
      <c r="D40" s="22">
        <v>34.99</v>
      </c>
      <c r="E40" s="22">
        <v>139.96</v>
      </c>
      <c r="F40" s="17" t="s">
        <v>98</v>
      </c>
      <c r="G40" s="16" t="s">
        <v>31</v>
      </c>
      <c r="H40" s="21" t="s">
        <v>87</v>
      </c>
      <c r="I40" s="16" t="s">
        <v>11</v>
      </c>
      <c r="J40" s="16" t="s">
        <v>28</v>
      </c>
      <c r="K40" s="16" t="s">
        <v>29</v>
      </c>
      <c r="L40" s="16"/>
      <c r="M40" s="16"/>
      <c r="N40" s="23" t="str">
        <f>HYPERLINK("http://slimages.macys.com/is/image/MCY/19339149 ")</f>
        <v xml:space="preserve">http://slimages.macys.com/is/image/MCY/19339149 </v>
      </c>
    </row>
    <row r="41" spans="1:14" x14ac:dyDescent="0.25">
      <c r="A41" s="21" t="s">
        <v>91</v>
      </c>
      <c r="B41" s="16" t="s">
        <v>92</v>
      </c>
      <c r="C41" s="17">
        <v>1</v>
      </c>
      <c r="D41" s="22">
        <v>34.99</v>
      </c>
      <c r="E41" s="22">
        <v>34.99</v>
      </c>
      <c r="F41" s="17" t="s">
        <v>90</v>
      </c>
      <c r="G41" s="16" t="s">
        <v>44</v>
      </c>
      <c r="H41" s="21" t="s">
        <v>27</v>
      </c>
      <c r="I41" s="16" t="s">
        <v>11</v>
      </c>
      <c r="J41" s="16" t="s">
        <v>28</v>
      </c>
      <c r="K41" s="16" t="s">
        <v>29</v>
      </c>
      <c r="L41" s="16"/>
      <c r="M41" s="16"/>
      <c r="N41" s="23" t="str">
        <f>HYPERLINK("http://slimages.macys.com/is/image/MCY/19339149 ")</f>
        <v xml:space="preserve">http://slimages.macys.com/is/image/MCY/19339149 </v>
      </c>
    </row>
    <row r="42" spans="1:14" x14ac:dyDescent="0.25">
      <c r="A42" s="21" t="s">
        <v>3763</v>
      </c>
      <c r="B42" s="16" t="s">
        <v>3764</v>
      </c>
      <c r="C42" s="17">
        <v>1</v>
      </c>
      <c r="D42" s="22">
        <v>32.99</v>
      </c>
      <c r="E42" s="22">
        <v>32.99</v>
      </c>
      <c r="F42" s="17" t="s">
        <v>3765</v>
      </c>
      <c r="G42" s="16" t="s">
        <v>488</v>
      </c>
      <c r="H42" s="21" t="s">
        <v>87</v>
      </c>
      <c r="I42" s="16" t="s">
        <v>11</v>
      </c>
      <c r="J42" s="16" t="s">
        <v>28</v>
      </c>
      <c r="K42" s="16" t="s">
        <v>29</v>
      </c>
      <c r="L42" s="16"/>
      <c r="M42" s="16"/>
      <c r="N42" s="23" t="str">
        <f>HYPERLINK("http://slimages.macys.com/is/image/MCY/18826303 ")</f>
        <v xml:space="preserve">http://slimages.macys.com/is/image/MCY/18826303 </v>
      </c>
    </row>
    <row r="43" spans="1:14" x14ac:dyDescent="0.25">
      <c r="A43" s="21" t="s">
        <v>1143</v>
      </c>
      <c r="B43" s="16" t="s">
        <v>1144</v>
      </c>
      <c r="C43" s="17">
        <v>1</v>
      </c>
      <c r="D43" s="22">
        <v>32.99</v>
      </c>
      <c r="E43" s="22">
        <v>32.99</v>
      </c>
      <c r="F43" s="17" t="s">
        <v>586</v>
      </c>
      <c r="G43" s="16" t="s">
        <v>127</v>
      </c>
      <c r="H43" s="21" t="s">
        <v>32</v>
      </c>
      <c r="I43" s="16" t="s">
        <v>11</v>
      </c>
      <c r="J43" s="16" t="s">
        <v>28</v>
      </c>
      <c r="K43" s="16" t="s">
        <v>29</v>
      </c>
      <c r="L43" s="16"/>
      <c r="M43" s="16"/>
      <c r="N43" s="23" t="str">
        <f>HYPERLINK("http://slimages.macys.com/is/image/MCY/19208834 ")</f>
        <v xml:space="preserve">http://slimages.macys.com/is/image/MCY/19208834 </v>
      </c>
    </row>
    <row r="44" spans="1:14" x14ac:dyDescent="0.25">
      <c r="A44" s="21" t="s">
        <v>1863</v>
      </c>
      <c r="B44" s="16" t="s">
        <v>1864</v>
      </c>
      <c r="C44" s="17">
        <v>1</v>
      </c>
      <c r="D44" s="22">
        <v>32.99</v>
      </c>
      <c r="E44" s="22">
        <v>32.99</v>
      </c>
      <c r="F44" s="17" t="s">
        <v>586</v>
      </c>
      <c r="G44" s="16" t="s">
        <v>127</v>
      </c>
      <c r="H44" s="21" t="s">
        <v>40</v>
      </c>
      <c r="I44" s="16" t="s">
        <v>11</v>
      </c>
      <c r="J44" s="16" t="s">
        <v>28</v>
      </c>
      <c r="K44" s="16" t="s">
        <v>29</v>
      </c>
      <c r="L44" s="16"/>
      <c r="M44" s="16"/>
      <c r="N44" s="23" t="str">
        <f>HYPERLINK("http://slimages.macys.com/is/image/MCY/19208834 ")</f>
        <v xml:space="preserve">http://slimages.macys.com/is/image/MCY/19208834 </v>
      </c>
    </row>
    <row r="45" spans="1:14" x14ac:dyDescent="0.25">
      <c r="A45" s="21" t="s">
        <v>1861</v>
      </c>
      <c r="B45" s="16" t="s">
        <v>1862</v>
      </c>
      <c r="C45" s="17">
        <v>1</v>
      </c>
      <c r="D45" s="22">
        <v>32.99</v>
      </c>
      <c r="E45" s="22">
        <v>32.99</v>
      </c>
      <c r="F45" s="17" t="s">
        <v>586</v>
      </c>
      <c r="G45" s="16" t="s">
        <v>127</v>
      </c>
      <c r="H45" s="21" t="s">
        <v>55</v>
      </c>
      <c r="I45" s="16" t="s">
        <v>11</v>
      </c>
      <c r="J45" s="16" t="s">
        <v>28</v>
      </c>
      <c r="K45" s="16" t="s">
        <v>29</v>
      </c>
      <c r="L45" s="16"/>
      <c r="M45" s="16"/>
      <c r="N45" s="23" t="str">
        <f>HYPERLINK("http://slimages.macys.com/is/image/MCY/19208834 ")</f>
        <v xml:space="preserve">http://slimages.macys.com/is/image/MCY/19208834 </v>
      </c>
    </row>
    <row r="46" spans="1:14" x14ac:dyDescent="0.25">
      <c r="A46" s="21" t="s">
        <v>1859</v>
      </c>
      <c r="B46" s="16" t="s">
        <v>1860</v>
      </c>
      <c r="C46" s="17">
        <v>1</v>
      </c>
      <c r="D46" s="22">
        <v>32.99</v>
      </c>
      <c r="E46" s="22">
        <v>32.99</v>
      </c>
      <c r="F46" s="17" t="s">
        <v>586</v>
      </c>
      <c r="G46" s="16" t="s">
        <v>127</v>
      </c>
      <c r="H46" s="21" t="s">
        <v>47</v>
      </c>
      <c r="I46" s="16" t="s">
        <v>11</v>
      </c>
      <c r="J46" s="16" t="s">
        <v>28</v>
      </c>
      <c r="K46" s="16" t="s">
        <v>29</v>
      </c>
      <c r="L46" s="16"/>
      <c r="M46" s="16"/>
      <c r="N46" s="23" t="str">
        <f>HYPERLINK("http://slimages.macys.com/is/image/MCY/19208834 ")</f>
        <v xml:space="preserve">http://slimages.macys.com/is/image/MCY/19208834 </v>
      </c>
    </row>
    <row r="47" spans="1:14" x14ac:dyDescent="0.25">
      <c r="A47" s="21" t="s">
        <v>1133</v>
      </c>
      <c r="B47" s="16" t="s">
        <v>1134</v>
      </c>
      <c r="C47" s="17">
        <v>1</v>
      </c>
      <c r="D47" s="22">
        <v>39.99</v>
      </c>
      <c r="E47" s="22">
        <v>39.99</v>
      </c>
      <c r="F47" s="17" t="s">
        <v>576</v>
      </c>
      <c r="G47" s="16" t="s">
        <v>31</v>
      </c>
      <c r="H47" s="21" t="s">
        <v>32</v>
      </c>
      <c r="I47" s="16" t="s">
        <v>11</v>
      </c>
      <c r="J47" s="16" t="s">
        <v>28</v>
      </c>
      <c r="K47" s="16" t="s">
        <v>29</v>
      </c>
      <c r="L47" s="16"/>
      <c r="M47" s="16"/>
      <c r="N47" s="23" t="str">
        <f>HYPERLINK("http://slimages.macys.com/is/image/MCY/20051109 ")</f>
        <v xml:space="preserve">http://slimages.macys.com/is/image/MCY/20051109 </v>
      </c>
    </row>
    <row r="48" spans="1:14" x14ac:dyDescent="0.25">
      <c r="A48" s="21" t="s">
        <v>1838</v>
      </c>
      <c r="B48" s="16" t="s">
        <v>1839</v>
      </c>
      <c r="C48" s="17">
        <v>1</v>
      </c>
      <c r="D48" s="22">
        <v>39.99</v>
      </c>
      <c r="E48" s="22">
        <v>39.99</v>
      </c>
      <c r="F48" s="17" t="s">
        <v>576</v>
      </c>
      <c r="G48" s="16" t="s">
        <v>31</v>
      </c>
      <c r="H48" s="21" t="s">
        <v>47</v>
      </c>
      <c r="I48" s="16" t="s">
        <v>11</v>
      </c>
      <c r="J48" s="16" t="s">
        <v>28</v>
      </c>
      <c r="K48" s="16" t="s">
        <v>29</v>
      </c>
      <c r="L48" s="16"/>
      <c r="M48" s="16"/>
      <c r="N48" s="23" t="str">
        <f>HYPERLINK("http://slimages.macys.com/is/image/MCY/1017709 ")</f>
        <v xml:space="preserve">http://slimages.macys.com/is/image/MCY/1017709 </v>
      </c>
    </row>
    <row r="49" spans="1:14" x14ac:dyDescent="0.25">
      <c r="A49" s="21" t="s">
        <v>574</v>
      </c>
      <c r="B49" s="16" t="s">
        <v>575</v>
      </c>
      <c r="C49" s="17">
        <v>1</v>
      </c>
      <c r="D49" s="22">
        <v>26.11</v>
      </c>
      <c r="E49" s="22">
        <v>26.11</v>
      </c>
      <c r="F49" s="17" t="s">
        <v>576</v>
      </c>
      <c r="G49" s="16" t="s">
        <v>57</v>
      </c>
      <c r="H49" s="21" t="s">
        <v>27</v>
      </c>
      <c r="I49" s="16" t="s">
        <v>11</v>
      </c>
      <c r="J49" s="16" t="s">
        <v>28</v>
      </c>
      <c r="K49" s="16" t="s">
        <v>29</v>
      </c>
      <c r="L49" s="16"/>
      <c r="M49" s="16"/>
      <c r="N49" s="23" t="str">
        <f>HYPERLINK("http://slimages.macys.com/is/image/MCY/20051271 ")</f>
        <v xml:space="preserve">http://slimages.macys.com/is/image/MCY/20051271 </v>
      </c>
    </row>
    <row r="50" spans="1:14" x14ac:dyDescent="0.25">
      <c r="A50" s="21" t="s">
        <v>3880</v>
      </c>
      <c r="B50" s="16" t="s">
        <v>3881</v>
      </c>
      <c r="C50" s="17">
        <v>2</v>
      </c>
      <c r="D50" s="22">
        <v>34.99</v>
      </c>
      <c r="E50" s="22">
        <v>69.98</v>
      </c>
      <c r="F50" s="17" t="s">
        <v>98</v>
      </c>
      <c r="G50" s="16" t="s">
        <v>57</v>
      </c>
      <c r="H50" s="21" t="s">
        <v>27</v>
      </c>
      <c r="I50" s="16" t="s">
        <v>11</v>
      </c>
      <c r="J50" s="16" t="s">
        <v>28</v>
      </c>
      <c r="K50" s="16" t="s">
        <v>29</v>
      </c>
      <c r="L50" s="16"/>
      <c r="M50" s="16"/>
      <c r="N50" s="23" t="str">
        <f>HYPERLINK("http://slimages.macys.com/is/image/MCY/1017709 ")</f>
        <v xml:space="preserve">http://slimages.macys.com/is/image/MCY/1017709 </v>
      </c>
    </row>
    <row r="51" spans="1:14" x14ac:dyDescent="0.25">
      <c r="A51" s="21" t="s">
        <v>3836</v>
      </c>
      <c r="B51" s="16" t="s">
        <v>3837</v>
      </c>
      <c r="C51" s="17">
        <v>4</v>
      </c>
      <c r="D51" s="22">
        <v>34.99</v>
      </c>
      <c r="E51" s="22">
        <v>139.96</v>
      </c>
      <c r="F51" s="17" t="s">
        <v>98</v>
      </c>
      <c r="G51" s="16" t="s">
        <v>57</v>
      </c>
      <c r="H51" s="21" t="s">
        <v>87</v>
      </c>
      <c r="I51" s="16" t="s">
        <v>11</v>
      </c>
      <c r="J51" s="16" t="s">
        <v>28</v>
      </c>
      <c r="K51" s="16" t="s">
        <v>29</v>
      </c>
      <c r="L51" s="16"/>
      <c r="M51" s="16"/>
      <c r="N51" s="23" t="str">
        <f>HYPERLINK("http://slimages.macys.com/is/image/MCY/1017709 ")</f>
        <v xml:space="preserve">http://slimages.macys.com/is/image/MCY/1017709 </v>
      </c>
    </row>
    <row r="52" spans="1:14" x14ac:dyDescent="0.25">
      <c r="A52" s="21" t="s">
        <v>3841</v>
      </c>
      <c r="B52" s="16" t="s">
        <v>3842</v>
      </c>
      <c r="C52" s="17">
        <v>1</v>
      </c>
      <c r="D52" s="22">
        <v>26.11</v>
      </c>
      <c r="E52" s="22">
        <v>26.11</v>
      </c>
      <c r="F52" s="17" t="s">
        <v>3574</v>
      </c>
      <c r="G52" s="16" t="s">
        <v>488</v>
      </c>
      <c r="H52" s="21" t="s">
        <v>47</v>
      </c>
      <c r="I52" s="16" t="s">
        <v>11</v>
      </c>
      <c r="J52" s="16" t="s">
        <v>28</v>
      </c>
      <c r="K52" s="16" t="s">
        <v>29</v>
      </c>
      <c r="L52" s="16" t="s">
        <v>111</v>
      </c>
      <c r="M52" s="16" t="s">
        <v>303</v>
      </c>
      <c r="N52" s="23" t="str">
        <f>HYPERLINK("http://slimages.macys.com/is/image/MCY/16271427 ")</f>
        <v xml:space="preserve">http://slimages.macys.com/is/image/MCY/16271427 </v>
      </c>
    </row>
    <row r="53" spans="1:14" x14ac:dyDescent="0.25">
      <c r="A53" s="21" t="s">
        <v>4441</v>
      </c>
      <c r="B53" s="16" t="s">
        <v>4442</v>
      </c>
      <c r="C53" s="17">
        <v>1</v>
      </c>
      <c r="D53" s="22">
        <v>19.989999999999998</v>
      </c>
      <c r="E53" s="22">
        <v>19.989999999999998</v>
      </c>
      <c r="F53" s="17" t="s">
        <v>929</v>
      </c>
      <c r="G53" s="16" t="s">
        <v>127</v>
      </c>
      <c r="H53" s="21" t="s">
        <v>27</v>
      </c>
      <c r="I53" s="16" t="s">
        <v>11</v>
      </c>
      <c r="J53" s="16" t="s">
        <v>28</v>
      </c>
      <c r="K53" s="16" t="s">
        <v>29</v>
      </c>
      <c r="L53" s="16" t="s">
        <v>111</v>
      </c>
      <c r="M53" s="16" t="s">
        <v>303</v>
      </c>
      <c r="N53" s="23" t="str">
        <f>HYPERLINK("http://slimages.macys.com/is/image/MCY/19301107 ")</f>
        <v xml:space="preserve">http://slimages.macys.com/is/image/MCY/19301107 </v>
      </c>
    </row>
    <row r="54" spans="1:14" x14ac:dyDescent="0.25">
      <c r="A54" s="21" t="s">
        <v>570</v>
      </c>
      <c r="B54" s="16" t="s">
        <v>571</v>
      </c>
      <c r="C54" s="17">
        <v>1</v>
      </c>
      <c r="D54" s="22">
        <v>25.99</v>
      </c>
      <c r="E54" s="22">
        <v>25.99</v>
      </c>
      <c r="F54" s="17" t="s">
        <v>68</v>
      </c>
      <c r="G54" s="16" t="s">
        <v>44</v>
      </c>
      <c r="H54" s="21" t="s">
        <v>32</v>
      </c>
      <c r="I54" s="16" t="s">
        <v>11</v>
      </c>
      <c r="J54" s="16" t="s">
        <v>28</v>
      </c>
      <c r="K54" s="16" t="s">
        <v>29</v>
      </c>
      <c r="L54" s="16"/>
      <c r="M54" s="16"/>
      <c r="N54" s="23" t="str">
        <f>HYPERLINK("http://slimages.macys.com/is/image/MCY/18574734 ")</f>
        <v xml:space="preserve">http://slimages.macys.com/is/image/MCY/18574734 </v>
      </c>
    </row>
    <row r="55" spans="1:14" x14ac:dyDescent="0.25">
      <c r="A55" s="21" t="s">
        <v>66</v>
      </c>
      <c r="B55" s="16" t="s">
        <v>67</v>
      </c>
      <c r="C55" s="17">
        <v>3</v>
      </c>
      <c r="D55" s="22">
        <v>26.11</v>
      </c>
      <c r="E55" s="22">
        <v>78.33</v>
      </c>
      <c r="F55" s="17" t="s">
        <v>68</v>
      </c>
      <c r="G55" s="16" t="s">
        <v>44</v>
      </c>
      <c r="H55" s="21" t="s">
        <v>40</v>
      </c>
      <c r="I55" s="16" t="s">
        <v>11</v>
      </c>
      <c r="J55" s="16" t="s">
        <v>28</v>
      </c>
      <c r="K55" s="16" t="s">
        <v>29</v>
      </c>
      <c r="L55" s="16"/>
      <c r="M55" s="16"/>
      <c r="N55" s="23" t="str">
        <f>HYPERLINK("http://slimages.macys.com/is/image/MCY/18574734 ")</f>
        <v xml:space="preserve">http://slimages.macys.com/is/image/MCY/18574734 </v>
      </c>
    </row>
    <row r="56" spans="1:14" x14ac:dyDescent="0.25">
      <c r="A56" s="21" t="s">
        <v>572</v>
      </c>
      <c r="B56" s="16" t="s">
        <v>573</v>
      </c>
      <c r="C56" s="17">
        <v>2</v>
      </c>
      <c r="D56" s="22">
        <v>25.99</v>
      </c>
      <c r="E56" s="22">
        <v>51.98</v>
      </c>
      <c r="F56" s="17" t="s">
        <v>68</v>
      </c>
      <c r="G56" s="16" t="s">
        <v>44</v>
      </c>
      <c r="H56" s="21" t="s">
        <v>55</v>
      </c>
      <c r="I56" s="16" t="s">
        <v>11</v>
      </c>
      <c r="J56" s="16" t="s">
        <v>28</v>
      </c>
      <c r="K56" s="16" t="s">
        <v>29</v>
      </c>
      <c r="L56" s="16"/>
      <c r="M56" s="16"/>
      <c r="N56" s="23" t="str">
        <f>HYPERLINK("http://slimages.macys.com/is/image/MCY/18530225 ")</f>
        <v xml:space="preserve">http://slimages.macys.com/is/image/MCY/18530225 </v>
      </c>
    </row>
    <row r="57" spans="1:14" x14ac:dyDescent="0.25">
      <c r="A57" s="21" t="s">
        <v>1789</v>
      </c>
      <c r="B57" s="16" t="s">
        <v>1790</v>
      </c>
      <c r="C57" s="17">
        <v>4</v>
      </c>
      <c r="D57" s="22">
        <v>25.99</v>
      </c>
      <c r="E57" s="22">
        <v>103.96</v>
      </c>
      <c r="F57" s="17" t="s">
        <v>68</v>
      </c>
      <c r="G57" s="16" t="s">
        <v>44</v>
      </c>
      <c r="H57" s="21" t="s">
        <v>27</v>
      </c>
      <c r="I57" s="16" t="s">
        <v>11</v>
      </c>
      <c r="J57" s="16" t="s">
        <v>28</v>
      </c>
      <c r="K57" s="16" t="s">
        <v>29</v>
      </c>
      <c r="L57" s="16"/>
      <c r="M57" s="16"/>
      <c r="N57" s="23" t="str">
        <f>HYPERLINK("http://slimages.macys.com/is/image/MCY/18574734 ")</f>
        <v xml:space="preserve">http://slimages.macys.com/is/image/MCY/18574734 </v>
      </c>
    </row>
    <row r="58" spans="1:14" x14ac:dyDescent="0.25">
      <c r="A58" s="21" t="s">
        <v>568</v>
      </c>
      <c r="B58" s="16" t="s">
        <v>569</v>
      </c>
      <c r="C58" s="17">
        <v>3</v>
      </c>
      <c r="D58" s="22">
        <v>25.99</v>
      </c>
      <c r="E58" s="22">
        <v>77.97</v>
      </c>
      <c r="F58" s="17" t="s">
        <v>68</v>
      </c>
      <c r="G58" s="16" t="s">
        <v>44</v>
      </c>
      <c r="H58" s="21" t="s">
        <v>47</v>
      </c>
      <c r="I58" s="16" t="s">
        <v>11</v>
      </c>
      <c r="J58" s="16" t="s">
        <v>28</v>
      </c>
      <c r="K58" s="16" t="s">
        <v>29</v>
      </c>
      <c r="L58" s="16"/>
      <c r="M58" s="16"/>
      <c r="N58" s="23" t="str">
        <f>HYPERLINK("http://slimages.macys.com/is/image/MCY/18574734 ")</f>
        <v xml:space="preserve">http://slimages.macys.com/is/image/MCY/18574734 </v>
      </c>
    </row>
    <row r="59" spans="1:14" x14ac:dyDescent="0.25">
      <c r="A59" s="21" t="s">
        <v>902</v>
      </c>
      <c r="B59" s="16" t="s">
        <v>903</v>
      </c>
      <c r="C59" s="17">
        <v>2</v>
      </c>
      <c r="D59" s="22">
        <v>25.99</v>
      </c>
      <c r="E59" s="22">
        <v>51.98</v>
      </c>
      <c r="F59" s="17" t="s">
        <v>68</v>
      </c>
      <c r="G59" s="16" t="s">
        <v>44</v>
      </c>
      <c r="H59" s="21" t="s">
        <v>87</v>
      </c>
      <c r="I59" s="16" t="s">
        <v>11</v>
      </c>
      <c r="J59" s="16" t="s">
        <v>28</v>
      </c>
      <c r="K59" s="16" t="s">
        <v>29</v>
      </c>
      <c r="L59" s="16"/>
      <c r="M59" s="16"/>
      <c r="N59" s="23" t="str">
        <f>HYPERLINK("http://slimages.macys.com/is/image/MCY/18574734 ")</f>
        <v xml:space="preserve">http://slimages.macys.com/is/image/MCY/18574734 </v>
      </c>
    </row>
    <row r="60" spans="1:14" x14ac:dyDescent="0.25">
      <c r="A60" s="21" t="s">
        <v>1391</v>
      </c>
      <c r="B60" s="16" t="s">
        <v>1392</v>
      </c>
      <c r="C60" s="17">
        <v>1</v>
      </c>
      <c r="D60" s="22">
        <v>44.99</v>
      </c>
      <c r="E60" s="22">
        <v>44.99</v>
      </c>
      <c r="F60" s="17" t="s">
        <v>1121</v>
      </c>
      <c r="G60" s="16" t="s">
        <v>120</v>
      </c>
      <c r="H60" s="21" t="s">
        <v>32</v>
      </c>
      <c r="I60" s="16" t="s">
        <v>11</v>
      </c>
      <c r="J60" s="16" t="s">
        <v>28</v>
      </c>
      <c r="K60" s="16" t="s">
        <v>29</v>
      </c>
      <c r="L60" s="16"/>
      <c r="M60" s="16"/>
      <c r="N60" s="23" t="str">
        <f>HYPERLINK("http://slimages.macys.com/is/image/MCY/19710681 ")</f>
        <v xml:space="preserve">http://slimages.macys.com/is/image/MCY/19710681 </v>
      </c>
    </row>
    <row r="61" spans="1:14" x14ac:dyDescent="0.25">
      <c r="A61" s="21" t="s">
        <v>4427</v>
      </c>
      <c r="B61" s="16" t="s">
        <v>4428</v>
      </c>
      <c r="C61" s="17">
        <v>1</v>
      </c>
      <c r="D61" s="22">
        <v>36.99</v>
      </c>
      <c r="E61" s="22">
        <v>36.99</v>
      </c>
      <c r="F61" s="17" t="s">
        <v>1657</v>
      </c>
      <c r="G61" s="16" t="s">
        <v>122</v>
      </c>
      <c r="H61" s="21" t="s">
        <v>55</v>
      </c>
      <c r="I61" s="16" t="s">
        <v>11</v>
      </c>
      <c r="J61" s="16" t="s">
        <v>28</v>
      </c>
      <c r="K61" s="16" t="s">
        <v>29</v>
      </c>
      <c r="L61" s="16"/>
      <c r="M61" s="16"/>
      <c r="N61" s="23" t="str">
        <f>HYPERLINK("http://slimages.macys.com/is/image/MCY/18951396 ")</f>
        <v xml:space="preserve">http://slimages.macys.com/is/image/MCY/18951396 </v>
      </c>
    </row>
    <row r="62" spans="1:14" x14ac:dyDescent="0.25">
      <c r="A62" s="21" t="s">
        <v>3772</v>
      </c>
      <c r="B62" s="16" t="s">
        <v>3773</v>
      </c>
      <c r="C62" s="17">
        <v>1</v>
      </c>
      <c r="D62" s="22">
        <v>24.99</v>
      </c>
      <c r="E62" s="22">
        <v>24.99</v>
      </c>
      <c r="F62" s="17" t="s">
        <v>597</v>
      </c>
      <c r="G62" s="16" t="s">
        <v>62</v>
      </c>
      <c r="H62" s="21" t="s">
        <v>47</v>
      </c>
      <c r="I62" s="16" t="s">
        <v>11</v>
      </c>
      <c r="J62" s="16" t="s">
        <v>28</v>
      </c>
      <c r="K62" s="16" t="s">
        <v>29</v>
      </c>
      <c r="L62" s="16"/>
      <c r="M62" s="16"/>
      <c r="N62" s="23" t="str">
        <f>HYPERLINK("http://slimages.macys.com/is/image/MCY/18820132 ")</f>
        <v xml:space="preserve">http://slimages.macys.com/is/image/MCY/18820132 </v>
      </c>
    </row>
    <row r="63" spans="1:14" x14ac:dyDescent="0.25">
      <c r="A63" s="21" t="s">
        <v>4410</v>
      </c>
      <c r="B63" s="16" t="s">
        <v>4411</v>
      </c>
      <c r="C63" s="17">
        <v>1</v>
      </c>
      <c r="D63" s="22">
        <v>24.99</v>
      </c>
      <c r="E63" s="22">
        <v>24.99</v>
      </c>
      <c r="F63" s="17" t="s">
        <v>926</v>
      </c>
      <c r="G63" s="16" t="s">
        <v>270</v>
      </c>
      <c r="H63" s="21" t="s">
        <v>87</v>
      </c>
      <c r="I63" s="16" t="s">
        <v>11</v>
      </c>
      <c r="J63" s="16" t="s">
        <v>28</v>
      </c>
      <c r="K63" s="16" t="s">
        <v>29</v>
      </c>
      <c r="L63" s="16"/>
      <c r="M63" s="16"/>
      <c r="N63" s="23" t="str">
        <f>HYPERLINK("http://slimages.macys.com/is/image/MCY/18820132 ")</f>
        <v xml:space="preserve">http://slimages.macys.com/is/image/MCY/18820132 </v>
      </c>
    </row>
    <row r="64" spans="1:14" x14ac:dyDescent="0.25">
      <c r="A64" s="21" t="s">
        <v>4466</v>
      </c>
      <c r="B64" s="16" t="s">
        <v>4467</v>
      </c>
      <c r="C64" s="17">
        <v>1</v>
      </c>
      <c r="D64" s="22">
        <v>52</v>
      </c>
      <c r="E64" s="22">
        <v>52</v>
      </c>
      <c r="F64" s="17" t="s">
        <v>662</v>
      </c>
      <c r="G64" s="16" t="s">
        <v>31</v>
      </c>
      <c r="H64" s="21" t="s">
        <v>32</v>
      </c>
      <c r="I64" s="16" t="s">
        <v>11</v>
      </c>
      <c r="J64" s="16" t="s">
        <v>142</v>
      </c>
      <c r="K64" s="16" t="s">
        <v>143</v>
      </c>
      <c r="L64" s="16"/>
      <c r="M64" s="16"/>
      <c r="N64" s="23" t="str">
        <f>HYPERLINK("http://slimages.macys.com/is/image/MCY/18567213 ")</f>
        <v xml:space="preserve">http://slimages.macys.com/is/image/MCY/18567213 </v>
      </c>
    </row>
    <row r="65" spans="1:14" x14ac:dyDescent="0.25">
      <c r="A65" s="21" t="s">
        <v>1663</v>
      </c>
      <c r="B65" s="16" t="s">
        <v>3829</v>
      </c>
      <c r="C65" s="17">
        <v>1</v>
      </c>
      <c r="D65" s="22">
        <v>52</v>
      </c>
      <c r="E65" s="22">
        <v>52</v>
      </c>
      <c r="F65" s="17" t="s">
        <v>662</v>
      </c>
      <c r="G65" s="16" t="s">
        <v>31</v>
      </c>
      <c r="H65" s="21" t="s">
        <v>55</v>
      </c>
      <c r="I65" s="16" t="s">
        <v>11</v>
      </c>
      <c r="J65" s="16" t="s">
        <v>142</v>
      </c>
      <c r="K65" s="16" t="s">
        <v>143</v>
      </c>
      <c r="L65" s="16"/>
      <c r="M65" s="16"/>
      <c r="N65" s="23" t="str">
        <f>HYPERLINK("http://slimages.macys.com/is/image/MCY/18567213 ")</f>
        <v xml:space="preserve">http://slimages.macys.com/is/image/MCY/18567213 </v>
      </c>
    </row>
    <row r="66" spans="1:14" x14ac:dyDescent="0.25">
      <c r="A66" s="21" t="s">
        <v>1170</v>
      </c>
      <c r="B66" s="16" t="s">
        <v>1171</v>
      </c>
      <c r="C66" s="17">
        <v>1</v>
      </c>
      <c r="D66" s="22">
        <v>26.11</v>
      </c>
      <c r="E66" s="22">
        <v>26.11</v>
      </c>
      <c r="F66" s="17" t="s">
        <v>193</v>
      </c>
      <c r="G66" s="16" t="s">
        <v>125</v>
      </c>
      <c r="H66" s="21" t="s">
        <v>55</v>
      </c>
      <c r="I66" s="16" t="s">
        <v>11</v>
      </c>
      <c r="J66" s="16" t="s">
        <v>142</v>
      </c>
      <c r="K66" s="16" t="s">
        <v>143</v>
      </c>
      <c r="L66" s="16" t="s">
        <v>111</v>
      </c>
      <c r="M66" s="16" t="s">
        <v>192</v>
      </c>
      <c r="N66" s="23" t="str">
        <f>HYPERLINK("http://slimages.macys.com/is/image/MCY/1734351 ")</f>
        <v xml:space="preserve">http://slimages.macys.com/is/image/MCY/1734351 </v>
      </c>
    </row>
    <row r="67" spans="1:14" x14ac:dyDescent="0.25">
      <c r="A67" s="21" t="s">
        <v>3301</v>
      </c>
      <c r="B67" s="16" t="s">
        <v>3302</v>
      </c>
      <c r="C67" s="17">
        <v>1</v>
      </c>
      <c r="D67" s="22">
        <v>44</v>
      </c>
      <c r="E67" s="22">
        <v>44</v>
      </c>
      <c r="F67" s="17" t="s">
        <v>681</v>
      </c>
      <c r="G67" s="16" t="s">
        <v>31</v>
      </c>
      <c r="H67" s="21" t="s">
        <v>678</v>
      </c>
      <c r="I67" s="16" t="s">
        <v>11</v>
      </c>
      <c r="J67" s="16" t="s">
        <v>142</v>
      </c>
      <c r="K67" s="16" t="s">
        <v>143</v>
      </c>
      <c r="L67" s="16" t="s">
        <v>111</v>
      </c>
      <c r="M67" s="16" t="s">
        <v>682</v>
      </c>
      <c r="N67" s="23" t="str">
        <f>HYPERLINK("http://slimages.macys.com/is/image/MCY/15693672 ")</f>
        <v xml:space="preserve">http://slimages.macys.com/is/image/MCY/15693672 </v>
      </c>
    </row>
    <row r="68" spans="1:14" x14ac:dyDescent="0.25">
      <c r="A68" s="21" t="s">
        <v>4470</v>
      </c>
      <c r="B68" s="16" t="s">
        <v>4471</v>
      </c>
      <c r="C68" s="17">
        <v>1</v>
      </c>
      <c r="D68" s="22">
        <v>46</v>
      </c>
      <c r="E68" s="22">
        <v>46</v>
      </c>
      <c r="F68" s="17" t="s">
        <v>675</v>
      </c>
      <c r="G68" s="16" t="s">
        <v>202</v>
      </c>
      <c r="H68" s="21" t="s">
        <v>536</v>
      </c>
      <c r="I68" s="16" t="s">
        <v>11</v>
      </c>
      <c r="J68" s="16" t="s">
        <v>142</v>
      </c>
      <c r="K68" s="16" t="s">
        <v>143</v>
      </c>
      <c r="L68" s="16" t="s">
        <v>111</v>
      </c>
      <c r="M68" s="16" t="s">
        <v>676</v>
      </c>
      <c r="N68" s="23" t="str">
        <f>HYPERLINK("http://slimages.macys.com/is/image/MCY/10335890 ")</f>
        <v xml:space="preserve">http://slimages.macys.com/is/image/MCY/10335890 </v>
      </c>
    </row>
    <row r="69" spans="1:14" x14ac:dyDescent="0.25">
      <c r="A69" s="21" t="s">
        <v>2874</v>
      </c>
      <c r="B69" s="16" t="s">
        <v>2875</v>
      </c>
      <c r="C69" s="17">
        <v>1</v>
      </c>
      <c r="D69" s="22">
        <v>38</v>
      </c>
      <c r="E69" s="22">
        <v>38</v>
      </c>
      <c r="F69" s="17" t="s">
        <v>691</v>
      </c>
      <c r="G69" s="16" t="s">
        <v>31</v>
      </c>
      <c r="H69" s="21" t="s">
        <v>1665</v>
      </c>
      <c r="I69" s="16" t="s">
        <v>11</v>
      </c>
      <c r="J69" s="16" t="s">
        <v>142</v>
      </c>
      <c r="K69" s="16" t="s">
        <v>143</v>
      </c>
      <c r="L69" s="16" t="s">
        <v>111</v>
      </c>
      <c r="M69" s="16" t="s">
        <v>692</v>
      </c>
      <c r="N69" s="23" t="str">
        <f>HYPERLINK("http://slimages.macys.com/is/image/MCY/3675362 ")</f>
        <v xml:space="preserve">http://slimages.macys.com/is/image/MCY/3675362 </v>
      </c>
    </row>
    <row r="70" spans="1:14" x14ac:dyDescent="0.25">
      <c r="A70" s="21" t="s">
        <v>1873</v>
      </c>
      <c r="B70" s="16" t="s">
        <v>1874</v>
      </c>
      <c r="C70" s="17">
        <v>1</v>
      </c>
      <c r="D70" s="22">
        <v>64</v>
      </c>
      <c r="E70" s="22">
        <v>64</v>
      </c>
      <c r="F70" s="17" t="s">
        <v>1875</v>
      </c>
      <c r="G70" s="16" t="s">
        <v>205</v>
      </c>
      <c r="H70" s="21" t="s">
        <v>32</v>
      </c>
      <c r="I70" s="16" t="s">
        <v>11</v>
      </c>
      <c r="J70" s="16" t="s">
        <v>142</v>
      </c>
      <c r="K70" s="16" t="s">
        <v>143</v>
      </c>
      <c r="L70" s="16"/>
      <c r="M70" s="16"/>
      <c r="N70" s="23" t="str">
        <f>HYPERLINK("http://slimages.macys.com/is/image/MCY/20657978 ")</f>
        <v xml:space="preserve">http://slimages.macys.com/is/image/MCY/20657978 </v>
      </c>
    </row>
    <row r="71" spans="1:14" x14ac:dyDescent="0.25">
      <c r="A71" s="21" t="s">
        <v>4462</v>
      </c>
      <c r="B71" s="16" t="s">
        <v>4463</v>
      </c>
      <c r="C71" s="17">
        <v>2</v>
      </c>
      <c r="D71" s="22">
        <v>64</v>
      </c>
      <c r="E71" s="22">
        <v>128</v>
      </c>
      <c r="F71" s="17" t="s">
        <v>1875</v>
      </c>
      <c r="G71" s="16" t="s">
        <v>205</v>
      </c>
      <c r="H71" s="21" t="s">
        <v>40</v>
      </c>
      <c r="I71" s="16" t="s">
        <v>11</v>
      </c>
      <c r="J71" s="16" t="s">
        <v>142</v>
      </c>
      <c r="K71" s="16" t="s">
        <v>143</v>
      </c>
      <c r="L71" s="16" t="s">
        <v>685</v>
      </c>
      <c r="M71" s="16" t="s">
        <v>686</v>
      </c>
      <c r="N71" s="23" t="str">
        <f>HYPERLINK("http://images.bloomingdales.com/is/image/BLM/11428295 ")</f>
        <v xml:space="preserve">http://images.bloomingdales.com/is/image/BLM/11428295 </v>
      </c>
    </row>
    <row r="72" spans="1:14" x14ac:dyDescent="0.25">
      <c r="A72" s="21" t="s">
        <v>4464</v>
      </c>
      <c r="B72" s="16" t="s">
        <v>4465</v>
      </c>
      <c r="C72" s="17">
        <v>3</v>
      </c>
      <c r="D72" s="22">
        <v>64</v>
      </c>
      <c r="E72" s="22">
        <v>192</v>
      </c>
      <c r="F72" s="17" t="s">
        <v>1875</v>
      </c>
      <c r="G72" s="16" t="s">
        <v>205</v>
      </c>
      <c r="H72" s="21" t="s">
        <v>55</v>
      </c>
      <c r="I72" s="16" t="s">
        <v>11</v>
      </c>
      <c r="J72" s="16" t="s">
        <v>142</v>
      </c>
      <c r="K72" s="16" t="s">
        <v>143</v>
      </c>
      <c r="L72" s="16" t="s">
        <v>685</v>
      </c>
      <c r="M72" s="16" t="s">
        <v>686</v>
      </c>
      <c r="N72" s="23" t="str">
        <f>HYPERLINK("http://images.bloomingdales.com/is/image/BLM/11428295 ")</f>
        <v xml:space="preserve">http://images.bloomingdales.com/is/image/BLM/11428295 </v>
      </c>
    </row>
    <row r="73" spans="1:14" x14ac:dyDescent="0.25">
      <c r="A73" s="21" t="s">
        <v>3037</v>
      </c>
      <c r="B73" s="16" t="s">
        <v>3038</v>
      </c>
      <c r="C73" s="17">
        <v>1</v>
      </c>
      <c r="D73" s="22">
        <v>42</v>
      </c>
      <c r="E73" s="22">
        <v>42</v>
      </c>
      <c r="F73" s="17" t="s">
        <v>157</v>
      </c>
      <c r="G73" s="16" t="s">
        <v>83</v>
      </c>
      <c r="H73" s="21" t="s">
        <v>32</v>
      </c>
      <c r="I73" s="16" t="s">
        <v>11</v>
      </c>
      <c r="J73" s="16" t="s">
        <v>142</v>
      </c>
      <c r="K73" s="16" t="s">
        <v>143</v>
      </c>
      <c r="L73" s="16"/>
      <c r="M73" s="16"/>
      <c r="N73" s="23" t="str">
        <f>HYPERLINK("http://slimages.macys.com/is/image/MCY/19150867 ")</f>
        <v xml:space="preserve">http://slimages.macys.com/is/image/MCY/19150867 </v>
      </c>
    </row>
    <row r="74" spans="1:14" x14ac:dyDescent="0.25">
      <c r="A74" s="21" t="s">
        <v>4472</v>
      </c>
      <c r="B74" s="16" t="s">
        <v>4473</v>
      </c>
      <c r="C74" s="17">
        <v>1</v>
      </c>
      <c r="D74" s="22">
        <v>42</v>
      </c>
      <c r="E74" s="22">
        <v>42</v>
      </c>
      <c r="F74" s="17" t="s">
        <v>1796</v>
      </c>
      <c r="G74" s="16" t="s">
        <v>78</v>
      </c>
      <c r="H74" s="21" t="s">
        <v>40</v>
      </c>
      <c r="I74" s="16" t="s">
        <v>11</v>
      </c>
      <c r="J74" s="16" t="s">
        <v>142</v>
      </c>
      <c r="K74" s="16" t="s">
        <v>143</v>
      </c>
      <c r="L74" s="16" t="s">
        <v>154</v>
      </c>
      <c r="M74" s="16" t="s">
        <v>1797</v>
      </c>
      <c r="N74" s="23" t="str">
        <f>HYPERLINK("http://images.bloomingdales.com/is/image/BLM/11396444 ")</f>
        <v xml:space="preserve">http://images.bloomingdales.com/is/image/BLM/11396444 </v>
      </c>
    </row>
    <row r="75" spans="1:14" x14ac:dyDescent="0.25">
      <c r="A75" s="21" t="s">
        <v>170</v>
      </c>
      <c r="B75" s="16" t="s">
        <v>171</v>
      </c>
      <c r="C75" s="17">
        <v>1</v>
      </c>
      <c r="D75" s="22">
        <v>29.5</v>
      </c>
      <c r="E75" s="22">
        <v>29.5</v>
      </c>
      <c r="F75" s="17" t="s">
        <v>172</v>
      </c>
      <c r="G75" s="16" t="s">
        <v>173</v>
      </c>
      <c r="H75" s="21" t="s">
        <v>55</v>
      </c>
      <c r="I75" s="16" t="s">
        <v>11</v>
      </c>
      <c r="J75" s="16" t="s">
        <v>142</v>
      </c>
      <c r="K75" s="16" t="s">
        <v>143</v>
      </c>
      <c r="L75" s="16"/>
      <c r="M75" s="16"/>
      <c r="N75" s="23" t="str">
        <f>HYPERLINK("http://slimages.macys.com/is/image/MCY/21546101 ")</f>
        <v xml:space="preserve">http://slimages.macys.com/is/image/MCY/21546101 </v>
      </c>
    </row>
    <row r="76" spans="1:14" x14ac:dyDescent="0.25">
      <c r="A76" s="21" t="s">
        <v>4482</v>
      </c>
      <c r="B76" s="16" t="s">
        <v>4483</v>
      </c>
      <c r="C76" s="17">
        <v>1</v>
      </c>
      <c r="D76" s="22">
        <v>11.67</v>
      </c>
      <c r="E76" s="22">
        <v>11.67</v>
      </c>
      <c r="F76" s="17" t="s">
        <v>200</v>
      </c>
      <c r="G76" s="16" t="s">
        <v>199</v>
      </c>
      <c r="H76" s="21" t="s">
        <v>40</v>
      </c>
      <c r="I76" s="16" t="s">
        <v>11</v>
      </c>
      <c r="J76" s="16" t="s">
        <v>142</v>
      </c>
      <c r="K76" s="16" t="s">
        <v>143</v>
      </c>
      <c r="L76" s="16"/>
      <c r="M76" s="16"/>
      <c r="N76" s="23" t="str">
        <f>HYPERLINK("http://slimages.macys.com/is/image/MCY/19149576 ")</f>
        <v xml:space="preserve">http://slimages.macys.com/is/image/MCY/19149576 </v>
      </c>
    </row>
    <row r="77" spans="1:14" x14ac:dyDescent="0.25">
      <c r="A77" s="21" t="s">
        <v>4480</v>
      </c>
      <c r="B77" s="16" t="s">
        <v>4481</v>
      </c>
      <c r="C77" s="17">
        <v>1</v>
      </c>
      <c r="D77" s="22">
        <v>11.67</v>
      </c>
      <c r="E77" s="22">
        <v>11.67</v>
      </c>
      <c r="F77" s="17" t="s">
        <v>200</v>
      </c>
      <c r="G77" s="16" t="s">
        <v>199</v>
      </c>
      <c r="H77" s="21" t="s">
        <v>27</v>
      </c>
      <c r="I77" s="16" t="s">
        <v>11</v>
      </c>
      <c r="J77" s="16" t="s">
        <v>142</v>
      </c>
      <c r="K77" s="16" t="s">
        <v>143</v>
      </c>
      <c r="L77" s="16"/>
      <c r="M77" s="16"/>
      <c r="N77" s="23" t="str">
        <f>HYPERLINK("http://slimages.macys.com/is/image/MCY/19149576 ")</f>
        <v xml:space="preserve">http://slimages.macys.com/is/image/MCY/19149576 </v>
      </c>
    </row>
    <row r="78" spans="1:14" x14ac:dyDescent="0.25">
      <c r="A78" s="21" t="s">
        <v>4478</v>
      </c>
      <c r="B78" s="16" t="s">
        <v>4479</v>
      </c>
      <c r="C78" s="17">
        <v>1</v>
      </c>
      <c r="D78" s="22">
        <v>11.67</v>
      </c>
      <c r="E78" s="22">
        <v>11.67</v>
      </c>
      <c r="F78" s="17" t="s">
        <v>200</v>
      </c>
      <c r="G78" s="16" t="s">
        <v>85</v>
      </c>
      <c r="H78" s="21" t="s">
        <v>55</v>
      </c>
      <c r="I78" s="16" t="s">
        <v>11</v>
      </c>
      <c r="J78" s="16" t="s">
        <v>142</v>
      </c>
      <c r="K78" s="16" t="s">
        <v>143</v>
      </c>
      <c r="L78" s="16"/>
      <c r="M78" s="16"/>
      <c r="N78" s="23" t="str">
        <f>HYPERLINK("http://slimages.macys.com/is/image/MCY/19149575 ")</f>
        <v xml:space="preserve">http://slimages.macys.com/is/image/MCY/19149575 </v>
      </c>
    </row>
    <row r="79" spans="1:14" x14ac:dyDescent="0.25">
      <c r="A79" s="21" t="s">
        <v>4484</v>
      </c>
      <c r="B79" s="16" t="s">
        <v>4485</v>
      </c>
      <c r="C79" s="17">
        <v>1</v>
      </c>
      <c r="D79" s="22">
        <v>11.67</v>
      </c>
      <c r="E79" s="22">
        <v>11.67</v>
      </c>
      <c r="F79" s="17" t="s">
        <v>194</v>
      </c>
      <c r="G79" s="16" t="s">
        <v>104</v>
      </c>
      <c r="H79" s="21" t="s">
        <v>40</v>
      </c>
      <c r="I79" s="16" t="s">
        <v>11</v>
      </c>
      <c r="J79" s="16" t="s">
        <v>142</v>
      </c>
      <c r="K79" s="16" t="s">
        <v>143</v>
      </c>
      <c r="L79" s="16"/>
      <c r="M79" s="16"/>
      <c r="N79" s="23" t="str">
        <f>HYPERLINK("http://slimages.macys.com/is/image/MCY/20084689 ")</f>
        <v xml:space="preserve">http://slimages.macys.com/is/image/MCY/20084689 </v>
      </c>
    </row>
    <row r="80" spans="1:14" x14ac:dyDescent="0.25">
      <c r="A80" s="21" t="s">
        <v>4476</v>
      </c>
      <c r="B80" s="16" t="s">
        <v>4477</v>
      </c>
      <c r="C80" s="17">
        <v>1</v>
      </c>
      <c r="D80" s="22">
        <v>20</v>
      </c>
      <c r="E80" s="22">
        <v>20</v>
      </c>
      <c r="F80" s="17" t="s">
        <v>2762</v>
      </c>
      <c r="G80" s="16" t="s">
        <v>44</v>
      </c>
      <c r="H80" s="21" t="s">
        <v>32</v>
      </c>
      <c r="I80" s="16" t="s">
        <v>11</v>
      </c>
      <c r="J80" s="16" t="s">
        <v>142</v>
      </c>
      <c r="K80" s="16" t="s">
        <v>143</v>
      </c>
      <c r="L80" s="16"/>
      <c r="M80" s="16"/>
      <c r="N80" s="23" t="str">
        <f>HYPERLINK("http://slimages.macys.com/is/image/MCY/19148756 ")</f>
        <v xml:space="preserve">http://slimages.macys.com/is/image/MCY/19148756 </v>
      </c>
    </row>
    <row r="81" spans="1:14" x14ac:dyDescent="0.25">
      <c r="A81" s="21" t="s">
        <v>3046</v>
      </c>
      <c r="B81" s="16" t="s">
        <v>3047</v>
      </c>
      <c r="C81" s="17">
        <v>1</v>
      </c>
      <c r="D81" s="22">
        <v>38</v>
      </c>
      <c r="E81" s="22">
        <v>38</v>
      </c>
      <c r="F81" s="17" t="s">
        <v>2761</v>
      </c>
      <c r="G81" s="16" t="s">
        <v>31</v>
      </c>
      <c r="H81" s="21" t="s">
        <v>55</v>
      </c>
      <c r="I81" s="16" t="s">
        <v>11</v>
      </c>
      <c r="J81" s="16" t="s">
        <v>142</v>
      </c>
      <c r="K81" s="16" t="s">
        <v>143</v>
      </c>
      <c r="L81" s="16"/>
      <c r="M81" s="16"/>
      <c r="N81" s="23" t="str">
        <f>HYPERLINK("http://slimages.macys.com/is/image/MCY/18863838 ")</f>
        <v xml:space="preserve">http://slimages.macys.com/is/image/MCY/18863838 </v>
      </c>
    </row>
    <row r="82" spans="1:14" x14ac:dyDescent="0.25">
      <c r="A82" s="21" t="s">
        <v>4468</v>
      </c>
      <c r="B82" s="16" t="s">
        <v>4469</v>
      </c>
      <c r="C82" s="17">
        <v>2</v>
      </c>
      <c r="D82" s="22">
        <v>48</v>
      </c>
      <c r="E82" s="22">
        <v>96</v>
      </c>
      <c r="F82" s="17" t="s">
        <v>673</v>
      </c>
      <c r="G82" s="16" t="s">
        <v>201</v>
      </c>
      <c r="H82" s="21" t="s">
        <v>147</v>
      </c>
      <c r="I82" s="16" t="s">
        <v>11</v>
      </c>
      <c r="J82" s="16" t="s">
        <v>142</v>
      </c>
      <c r="K82" s="16" t="s">
        <v>143</v>
      </c>
      <c r="L82" s="16"/>
      <c r="M82" s="16"/>
      <c r="N82" s="23" t="str">
        <f>HYPERLINK("http://slimages.macys.com/is/image/MCY/20120993 ")</f>
        <v xml:space="preserve">http://slimages.macys.com/is/image/MCY/20120993 </v>
      </c>
    </row>
    <row r="83" spans="1:14" x14ac:dyDescent="0.25">
      <c r="A83" s="21" t="s">
        <v>4474</v>
      </c>
      <c r="B83" s="16" t="s">
        <v>4475</v>
      </c>
      <c r="C83" s="17">
        <v>1</v>
      </c>
      <c r="D83" s="22">
        <v>9.6</v>
      </c>
      <c r="E83" s="22">
        <v>9.6</v>
      </c>
      <c r="F83" s="17" t="s">
        <v>711</v>
      </c>
      <c r="G83" s="16" t="s">
        <v>163</v>
      </c>
      <c r="H83" s="21" t="s">
        <v>40</v>
      </c>
      <c r="I83" s="16" t="s">
        <v>11</v>
      </c>
      <c r="J83" s="16" t="s">
        <v>142</v>
      </c>
      <c r="K83" s="16" t="s">
        <v>143</v>
      </c>
      <c r="L83" s="16"/>
      <c r="M83" s="16"/>
      <c r="N83" s="23" t="str">
        <f>HYPERLINK("http://slimages.macys.com/is/image/MCY/19069500 ")</f>
        <v xml:space="preserve">http://slimages.macys.com/is/image/MCY/19069500 </v>
      </c>
    </row>
    <row r="84" spans="1:14" x14ac:dyDescent="0.25">
      <c r="A84" s="21" t="s">
        <v>702</v>
      </c>
      <c r="B84" s="16" t="s">
        <v>703</v>
      </c>
      <c r="C84" s="17">
        <v>1</v>
      </c>
      <c r="D84" s="22">
        <v>28</v>
      </c>
      <c r="E84" s="22">
        <v>28</v>
      </c>
      <c r="F84" s="17" t="s">
        <v>693</v>
      </c>
      <c r="G84" s="16" t="s">
        <v>57</v>
      </c>
      <c r="H84" s="21" t="s">
        <v>40</v>
      </c>
      <c r="I84" s="16" t="s">
        <v>11</v>
      </c>
      <c r="J84" s="16" t="s">
        <v>142</v>
      </c>
      <c r="K84" s="16" t="s">
        <v>143</v>
      </c>
      <c r="L84" s="16"/>
      <c r="M84" s="16"/>
      <c r="N84" s="23" t="str">
        <f>HYPERLINK("http://slimages.macys.com/is/image/MCY/19908935 ")</f>
        <v xml:space="preserve">http://slimages.macys.com/is/image/MCY/19908935 </v>
      </c>
    </row>
    <row r="85" spans="1:14" x14ac:dyDescent="0.25">
      <c r="A85" s="21" t="s">
        <v>4448</v>
      </c>
      <c r="B85" s="16" t="s">
        <v>4449</v>
      </c>
      <c r="C85" s="17">
        <v>1</v>
      </c>
      <c r="D85" s="22">
        <v>39.99</v>
      </c>
      <c r="E85" s="22">
        <v>39.99</v>
      </c>
      <c r="F85" s="17">
        <v>100106591</v>
      </c>
      <c r="G85" s="16" t="s">
        <v>31</v>
      </c>
      <c r="H85" s="21" t="s">
        <v>27</v>
      </c>
      <c r="I85" s="16" t="s">
        <v>11</v>
      </c>
      <c r="J85" s="16" t="s">
        <v>130</v>
      </c>
      <c r="K85" s="16" t="s">
        <v>131</v>
      </c>
      <c r="L85" s="16" t="s">
        <v>111</v>
      </c>
      <c r="M85" s="16" t="s">
        <v>415</v>
      </c>
      <c r="N85" s="23" t="str">
        <f>HYPERLINK("http://slimages.macys.com/is/image/MCY/17920296 ")</f>
        <v xml:space="preserve">http://slimages.macys.com/is/image/MCY/17920296 </v>
      </c>
    </row>
    <row r="86" spans="1:14" x14ac:dyDescent="0.25">
      <c r="A86" s="21" t="s">
        <v>4445</v>
      </c>
      <c r="B86" s="16" t="s">
        <v>4446</v>
      </c>
      <c r="C86" s="17">
        <v>1</v>
      </c>
      <c r="D86" s="22">
        <v>42.99</v>
      </c>
      <c r="E86" s="22">
        <v>42.99</v>
      </c>
      <c r="F86" s="17" t="s">
        <v>4447</v>
      </c>
      <c r="G86" s="16" t="s">
        <v>82</v>
      </c>
      <c r="H86" s="21" t="s">
        <v>27</v>
      </c>
      <c r="I86" s="16" t="s">
        <v>11</v>
      </c>
      <c r="J86" s="16" t="s">
        <v>130</v>
      </c>
      <c r="K86" s="16" t="s">
        <v>131</v>
      </c>
      <c r="L86" s="16"/>
      <c r="M86" s="16"/>
      <c r="N86" s="23" t="str">
        <f>HYPERLINK("http://slimages.macys.com/is/image/MCY/19224637 ")</f>
        <v xml:space="preserve">http://slimages.macys.com/is/image/MCY/19224637 </v>
      </c>
    </row>
    <row r="87" spans="1:14" x14ac:dyDescent="0.25">
      <c r="A87" s="21" t="s">
        <v>4453</v>
      </c>
      <c r="B87" s="16" t="s">
        <v>4454</v>
      </c>
      <c r="C87" s="17">
        <v>1</v>
      </c>
      <c r="D87" s="22">
        <v>36.99</v>
      </c>
      <c r="E87" s="22">
        <v>36.99</v>
      </c>
      <c r="F87" s="17" t="s">
        <v>4455</v>
      </c>
      <c r="G87" s="16" t="s">
        <v>83</v>
      </c>
      <c r="H87" s="21" t="s">
        <v>158</v>
      </c>
      <c r="I87" s="16" t="s">
        <v>11</v>
      </c>
      <c r="J87" s="16" t="s">
        <v>130</v>
      </c>
      <c r="K87" s="16" t="s">
        <v>1662</v>
      </c>
      <c r="L87" s="16"/>
      <c r="M87" s="16"/>
      <c r="N87" s="23" t="str">
        <f>HYPERLINK("http://slimages.macys.com/is/image/MCY/19278378 ")</f>
        <v xml:space="preserve">http://slimages.macys.com/is/image/MCY/19278378 </v>
      </c>
    </row>
    <row r="88" spans="1:14" x14ac:dyDescent="0.25">
      <c r="A88" s="21" t="s">
        <v>4458</v>
      </c>
      <c r="B88" s="16" t="s">
        <v>4459</v>
      </c>
      <c r="C88" s="17">
        <v>1</v>
      </c>
      <c r="D88" s="22">
        <v>24.99</v>
      </c>
      <c r="E88" s="22">
        <v>24.99</v>
      </c>
      <c r="F88" s="17" t="s">
        <v>2188</v>
      </c>
      <c r="G88" s="16" t="s">
        <v>62</v>
      </c>
      <c r="H88" s="21" t="s">
        <v>40</v>
      </c>
      <c r="I88" s="16" t="s">
        <v>11</v>
      </c>
      <c r="J88" s="16" t="s">
        <v>130</v>
      </c>
      <c r="K88" s="16" t="s">
        <v>131</v>
      </c>
      <c r="L88" s="16"/>
      <c r="M88" s="16"/>
      <c r="N88" s="23" t="str">
        <f>HYPERLINK("http://slimages.macys.com/is/image/MCY/19905982 ")</f>
        <v xml:space="preserve">http://slimages.macys.com/is/image/MCY/19905982 </v>
      </c>
    </row>
    <row r="89" spans="1:14" x14ac:dyDescent="0.25">
      <c r="A89" s="21" t="s">
        <v>4456</v>
      </c>
      <c r="B89" s="16" t="s">
        <v>4457</v>
      </c>
      <c r="C89" s="17">
        <v>1</v>
      </c>
      <c r="D89" s="22">
        <v>24.99</v>
      </c>
      <c r="E89" s="22">
        <v>24.99</v>
      </c>
      <c r="F89" s="17" t="s">
        <v>3778</v>
      </c>
      <c r="G89" s="16" t="s">
        <v>31</v>
      </c>
      <c r="H89" s="21" t="s">
        <v>55</v>
      </c>
      <c r="I89" s="16" t="s">
        <v>11</v>
      </c>
      <c r="J89" s="16" t="s">
        <v>130</v>
      </c>
      <c r="K89" s="16" t="s">
        <v>131</v>
      </c>
      <c r="L89" s="16"/>
      <c r="M89" s="16"/>
      <c r="N89" s="23" t="str">
        <f>HYPERLINK("http://slimages.macys.com/is/image/MCY/19610393 ")</f>
        <v xml:space="preserve">http://slimages.macys.com/is/image/MCY/19610393 </v>
      </c>
    </row>
    <row r="90" spans="1:14" x14ac:dyDescent="0.25">
      <c r="A90" s="21" t="s">
        <v>3779</v>
      </c>
      <c r="B90" s="16" t="s">
        <v>3780</v>
      </c>
      <c r="C90" s="17">
        <v>1</v>
      </c>
      <c r="D90" s="22">
        <v>24.99</v>
      </c>
      <c r="E90" s="22">
        <v>24.99</v>
      </c>
      <c r="F90" s="17" t="s">
        <v>3778</v>
      </c>
      <c r="G90" s="16" t="s">
        <v>31</v>
      </c>
      <c r="H90" s="21" t="s">
        <v>47</v>
      </c>
      <c r="I90" s="16" t="s">
        <v>11</v>
      </c>
      <c r="J90" s="16" t="s">
        <v>130</v>
      </c>
      <c r="K90" s="16" t="s">
        <v>131</v>
      </c>
      <c r="L90" s="16"/>
      <c r="M90" s="16"/>
      <c r="N90" s="23" t="str">
        <f>HYPERLINK("http://slimages.macys.com/is/image/MCY/19610397 ")</f>
        <v xml:space="preserve">http://slimages.macys.com/is/image/MCY/19610397 </v>
      </c>
    </row>
    <row r="91" spans="1:14" x14ac:dyDescent="0.25">
      <c r="A91" s="21" t="s">
        <v>2179</v>
      </c>
      <c r="B91" s="16" t="s">
        <v>2180</v>
      </c>
      <c r="C91" s="17">
        <v>1</v>
      </c>
      <c r="D91" s="22">
        <v>22.99</v>
      </c>
      <c r="E91" s="22">
        <v>22.99</v>
      </c>
      <c r="F91" s="17" t="s">
        <v>134</v>
      </c>
      <c r="G91" s="16" t="s">
        <v>76</v>
      </c>
      <c r="H91" s="21" t="s">
        <v>40</v>
      </c>
      <c r="I91" s="16" t="s">
        <v>11</v>
      </c>
      <c r="J91" s="16" t="s">
        <v>130</v>
      </c>
      <c r="K91" s="16" t="s">
        <v>131</v>
      </c>
      <c r="L91" s="16"/>
      <c r="M91" s="16"/>
      <c r="N91" s="23" t="str">
        <f>HYPERLINK("http://slimages.macys.com/is/image/MCY/20352544 ")</f>
        <v xml:space="preserve">http://slimages.macys.com/is/image/MCY/20352544 </v>
      </c>
    </row>
    <row r="92" spans="1:14" x14ac:dyDescent="0.25">
      <c r="A92" s="21" t="s">
        <v>4460</v>
      </c>
      <c r="B92" s="16" t="s">
        <v>4461</v>
      </c>
      <c r="C92" s="17">
        <v>1</v>
      </c>
      <c r="D92" s="22">
        <v>19.989999999999998</v>
      </c>
      <c r="E92" s="22">
        <v>19.989999999999998</v>
      </c>
      <c r="F92" s="17" t="s">
        <v>2209</v>
      </c>
      <c r="G92" s="16" t="s">
        <v>189</v>
      </c>
      <c r="H92" s="21" t="s">
        <v>47</v>
      </c>
      <c r="I92" s="16" t="s">
        <v>11</v>
      </c>
      <c r="J92" s="16" t="s">
        <v>130</v>
      </c>
      <c r="K92" s="16" t="s">
        <v>131</v>
      </c>
      <c r="L92" s="16"/>
      <c r="M92" s="16"/>
      <c r="N92" s="23" t="str">
        <f>HYPERLINK("http://slimages.macys.com/is/image/MCY/19229139 ")</f>
        <v xml:space="preserve">http://slimages.macys.com/is/image/MCY/19229139 </v>
      </c>
    </row>
    <row r="93" spans="1:14" x14ac:dyDescent="0.25">
      <c r="A93" s="21" t="s">
        <v>3294</v>
      </c>
      <c r="B93" s="16" t="s">
        <v>3295</v>
      </c>
      <c r="C93" s="17">
        <v>1</v>
      </c>
      <c r="D93" s="22">
        <v>19.989999999999998</v>
      </c>
      <c r="E93" s="22">
        <v>19.989999999999998</v>
      </c>
      <c r="F93" s="17" t="s">
        <v>2209</v>
      </c>
      <c r="G93" s="16" t="s">
        <v>140</v>
      </c>
      <c r="H93" s="21" t="s">
        <v>47</v>
      </c>
      <c r="I93" s="16" t="s">
        <v>11</v>
      </c>
      <c r="J93" s="16" t="s">
        <v>130</v>
      </c>
      <c r="K93" s="16" t="s">
        <v>131</v>
      </c>
      <c r="L93" s="16"/>
      <c r="M93" s="16"/>
      <c r="N93" s="23" t="str">
        <f>HYPERLINK("http://slimages.macys.com/is/image/MCY/20383768 ")</f>
        <v xml:space="preserve">http://slimages.macys.com/is/image/MCY/20383768 </v>
      </c>
    </row>
    <row r="94" spans="1:14" x14ac:dyDescent="0.25">
      <c r="A94" s="21" t="s">
        <v>4450</v>
      </c>
      <c r="B94" s="16" t="s">
        <v>4451</v>
      </c>
      <c r="C94" s="17">
        <v>1</v>
      </c>
      <c r="D94" s="22">
        <v>32.99</v>
      </c>
      <c r="E94" s="22">
        <v>32.99</v>
      </c>
      <c r="F94" s="17" t="s">
        <v>4452</v>
      </c>
      <c r="G94" s="16" t="s">
        <v>83</v>
      </c>
      <c r="H94" s="21" t="s">
        <v>87</v>
      </c>
      <c r="I94" s="16" t="s">
        <v>11</v>
      </c>
      <c r="J94" s="16" t="s">
        <v>130</v>
      </c>
      <c r="K94" s="16" t="s">
        <v>131</v>
      </c>
      <c r="L94" s="16"/>
      <c r="M94" s="16"/>
      <c r="N94" s="23" t="str">
        <f>HYPERLINK("http://slimages.macys.com/is/image/MCY/19224695 ")</f>
        <v xml:space="preserve">http://slimages.macys.com/is/image/MCY/19224695 </v>
      </c>
    </row>
    <row r="95" spans="1:14" x14ac:dyDescent="0.25">
      <c r="A95" s="21" t="s">
        <v>648</v>
      </c>
      <c r="B95" s="16" t="s">
        <v>649</v>
      </c>
      <c r="C95" s="17">
        <v>1</v>
      </c>
      <c r="D95" s="22">
        <v>32.99</v>
      </c>
      <c r="E95" s="22">
        <v>32.99</v>
      </c>
      <c r="F95" s="17" t="s">
        <v>644</v>
      </c>
      <c r="G95" s="16" t="s">
        <v>62</v>
      </c>
      <c r="H95" s="21" t="s">
        <v>27</v>
      </c>
      <c r="I95" s="16" t="s">
        <v>11</v>
      </c>
      <c r="J95" s="16" t="s">
        <v>130</v>
      </c>
      <c r="K95" s="16" t="s">
        <v>131</v>
      </c>
      <c r="L95" s="16"/>
      <c r="M95" s="16"/>
      <c r="N95" s="23" t="str">
        <f>HYPERLINK("http://slimages.macys.com/is/image/MCY/19224695 ")</f>
        <v xml:space="preserve">http://slimages.macys.com/is/image/MCY/19224695 </v>
      </c>
    </row>
    <row r="96" spans="1:14" x14ac:dyDescent="0.25">
      <c r="A96" s="21" t="s">
        <v>4642</v>
      </c>
      <c r="B96" s="16" t="s">
        <v>4643</v>
      </c>
      <c r="C96" s="17">
        <v>1</v>
      </c>
      <c r="D96" s="22">
        <v>5.6</v>
      </c>
      <c r="E96" s="22">
        <v>5.6</v>
      </c>
      <c r="F96" s="17">
        <v>100117228</v>
      </c>
      <c r="G96" s="16" t="s">
        <v>205</v>
      </c>
      <c r="H96" s="21" t="s">
        <v>32</v>
      </c>
      <c r="I96" s="16" t="s">
        <v>11</v>
      </c>
      <c r="J96" s="16" t="s">
        <v>457</v>
      </c>
      <c r="K96" s="16" t="s">
        <v>485</v>
      </c>
      <c r="L96" s="16"/>
      <c r="M96" s="16"/>
      <c r="N96" s="23" t="str">
        <f>HYPERLINK("http://slimages.macys.com/is/image/MCY/18262306 ")</f>
        <v xml:space="preserve">http://slimages.macys.com/is/image/MCY/18262306 </v>
      </c>
    </row>
    <row r="97" spans="1:14" x14ac:dyDescent="0.25">
      <c r="A97" s="21" t="s">
        <v>843</v>
      </c>
      <c r="B97" s="16" t="s">
        <v>844</v>
      </c>
      <c r="C97" s="17">
        <v>1</v>
      </c>
      <c r="D97" s="22">
        <v>5.6</v>
      </c>
      <c r="E97" s="22">
        <v>5.6</v>
      </c>
      <c r="F97" s="17">
        <v>100131403</v>
      </c>
      <c r="G97" s="16" t="s">
        <v>62</v>
      </c>
      <c r="H97" s="21" t="s">
        <v>40</v>
      </c>
      <c r="I97" s="16" t="s">
        <v>11</v>
      </c>
      <c r="J97" s="16" t="s">
        <v>457</v>
      </c>
      <c r="K97" s="16" t="s">
        <v>485</v>
      </c>
      <c r="L97" s="16"/>
      <c r="M97" s="16"/>
      <c r="N97" s="23" t="str">
        <f>HYPERLINK("http://slimages.macys.com/is/image/MCY/19412957 ")</f>
        <v xml:space="preserve">http://slimages.macys.com/is/image/MCY/19412957 </v>
      </c>
    </row>
    <row r="98" spans="1:14" x14ac:dyDescent="0.25">
      <c r="A98" s="21" t="s">
        <v>4628</v>
      </c>
      <c r="B98" s="16" t="s">
        <v>4629</v>
      </c>
      <c r="C98" s="17">
        <v>1</v>
      </c>
      <c r="D98" s="22">
        <v>24</v>
      </c>
      <c r="E98" s="22">
        <v>24</v>
      </c>
      <c r="F98" s="17" t="s">
        <v>3313</v>
      </c>
      <c r="G98" s="16" t="s">
        <v>378</v>
      </c>
      <c r="H98" s="21" t="s">
        <v>40</v>
      </c>
      <c r="I98" s="16" t="s">
        <v>11</v>
      </c>
      <c r="J98" s="16" t="s">
        <v>343</v>
      </c>
      <c r="K98" s="16" t="s">
        <v>393</v>
      </c>
      <c r="L98" s="16"/>
      <c r="M98" s="16"/>
      <c r="N98" s="23" t="str">
        <f>HYPERLINK("http://slimages.macys.com/is/image/MCY/18828184 ")</f>
        <v xml:space="preserve">http://slimages.macys.com/is/image/MCY/18828184 </v>
      </c>
    </row>
    <row r="99" spans="1:14" x14ac:dyDescent="0.25">
      <c r="A99" s="21" t="s">
        <v>4646</v>
      </c>
      <c r="B99" s="16" t="s">
        <v>4647</v>
      </c>
      <c r="C99" s="17">
        <v>1</v>
      </c>
      <c r="D99" s="22">
        <v>34</v>
      </c>
      <c r="E99" s="22">
        <v>34</v>
      </c>
      <c r="F99" s="17" t="s">
        <v>4648</v>
      </c>
      <c r="G99" s="16" t="s">
        <v>31</v>
      </c>
      <c r="H99" s="21" t="s">
        <v>255</v>
      </c>
      <c r="I99" s="16" t="s">
        <v>893</v>
      </c>
      <c r="J99" s="16" t="s">
        <v>533</v>
      </c>
      <c r="K99" s="16" t="s">
        <v>2970</v>
      </c>
      <c r="L99" s="16" t="s">
        <v>220</v>
      </c>
      <c r="M99" s="16" t="s">
        <v>4649</v>
      </c>
      <c r="N99" s="23" t="str">
        <f>HYPERLINK("http://images.bloomingdales.com/is/image/BLM/9836851 ")</f>
        <v xml:space="preserve">http://images.bloomingdales.com/is/image/BLM/9836851 </v>
      </c>
    </row>
    <row r="100" spans="1:14" x14ac:dyDescent="0.25">
      <c r="A100" s="21" t="s">
        <v>1787</v>
      </c>
      <c r="B100" s="16" t="s">
        <v>1788</v>
      </c>
      <c r="C100" s="17">
        <v>1</v>
      </c>
      <c r="D100" s="22">
        <v>41.3</v>
      </c>
      <c r="E100" s="22">
        <v>41.3</v>
      </c>
      <c r="F100" s="17" t="s">
        <v>1786</v>
      </c>
      <c r="G100" s="16"/>
      <c r="H100" s="21" t="s">
        <v>231</v>
      </c>
      <c r="I100" s="16" t="s">
        <v>11</v>
      </c>
      <c r="J100" s="16" t="s">
        <v>539</v>
      </c>
      <c r="K100" s="16" t="s">
        <v>551</v>
      </c>
      <c r="L100" s="16"/>
      <c r="M100" s="16"/>
      <c r="N100" s="23" t="str">
        <f>HYPERLINK("http://slimages.macys.com/is/image/MCY/17737039 ")</f>
        <v xml:space="preserve">http://slimages.macys.com/is/image/MCY/17737039 </v>
      </c>
    </row>
    <row r="101" spans="1:14" x14ac:dyDescent="0.25">
      <c r="A101" s="21" t="s">
        <v>4654</v>
      </c>
      <c r="B101" s="16" t="s">
        <v>4655</v>
      </c>
      <c r="C101" s="17">
        <v>1</v>
      </c>
      <c r="D101" s="22">
        <v>34.299999999999997</v>
      </c>
      <c r="E101" s="22">
        <v>34.299999999999997</v>
      </c>
      <c r="F101" s="17" t="s">
        <v>2786</v>
      </c>
      <c r="G101" s="16" t="s">
        <v>230</v>
      </c>
      <c r="H101" s="21" t="s">
        <v>227</v>
      </c>
      <c r="I101" s="16" t="s">
        <v>11</v>
      </c>
      <c r="J101" s="16" t="s">
        <v>539</v>
      </c>
      <c r="K101" s="16" t="s">
        <v>551</v>
      </c>
      <c r="L101" s="16"/>
      <c r="M101" s="16"/>
      <c r="N101" s="23" t="str">
        <f>HYPERLINK("http://slimages.macys.com/is/image/MCY/18860799 ")</f>
        <v xml:space="preserve">http://slimages.macys.com/is/image/MCY/18860799 </v>
      </c>
    </row>
    <row r="102" spans="1:14" x14ac:dyDescent="0.25">
      <c r="A102" s="21" t="s">
        <v>4326</v>
      </c>
      <c r="B102" s="16" t="s">
        <v>4327</v>
      </c>
      <c r="C102" s="17">
        <v>1</v>
      </c>
      <c r="D102" s="22">
        <v>38</v>
      </c>
      <c r="E102" s="22">
        <v>38</v>
      </c>
      <c r="F102" s="17" t="s">
        <v>4325</v>
      </c>
      <c r="G102" s="16" t="s">
        <v>31</v>
      </c>
      <c r="H102" s="21" t="s">
        <v>227</v>
      </c>
      <c r="I102" s="16" t="s">
        <v>11</v>
      </c>
      <c r="J102" s="16" t="s">
        <v>343</v>
      </c>
      <c r="K102" s="16" t="s">
        <v>344</v>
      </c>
      <c r="L102" s="16"/>
      <c r="M102" s="16"/>
      <c r="N102" s="23" t="str">
        <f>HYPERLINK("http://slimages.macys.com/is/image/MCY/16792532 ")</f>
        <v xml:space="preserve">http://slimages.macys.com/is/image/MCY/16792532 </v>
      </c>
    </row>
    <row r="103" spans="1:14" x14ac:dyDescent="0.25">
      <c r="A103" s="21" t="s">
        <v>4598</v>
      </c>
      <c r="B103" s="16" t="s">
        <v>4599</v>
      </c>
      <c r="C103" s="17">
        <v>1</v>
      </c>
      <c r="D103" s="22">
        <v>38</v>
      </c>
      <c r="E103" s="22">
        <v>38</v>
      </c>
      <c r="F103" s="17" t="s">
        <v>4325</v>
      </c>
      <c r="G103" s="16" t="s">
        <v>102</v>
      </c>
      <c r="H103" s="21" t="s">
        <v>227</v>
      </c>
      <c r="I103" s="16" t="s">
        <v>11</v>
      </c>
      <c r="J103" s="16" t="s">
        <v>343</v>
      </c>
      <c r="K103" s="16" t="s">
        <v>344</v>
      </c>
      <c r="L103" s="16"/>
      <c r="M103" s="16"/>
      <c r="N103" s="23" t="str">
        <f>HYPERLINK("http://slimages.macys.com/is/image/MCY/18860855 ")</f>
        <v xml:space="preserve">http://slimages.macys.com/is/image/MCY/18860855 </v>
      </c>
    </row>
    <row r="104" spans="1:14" x14ac:dyDescent="0.25">
      <c r="A104" s="21" t="s">
        <v>4486</v>
      </c>
      <c r="B104" s="16" t="s">
        <v>4487</v>
      </c>
      <c r="C104" s="17">
        <v>1</v>
      </c>
      <c r="D104" s="22">
        <v>42</v>
      </c>
      <c r="E104" s="22">
        <v>42</v>
      </c>
      <c r="F104" s="17" t="s">
        <v>3849</v>
      </c>
      <c r="G104" s="16" t="s">
        <v>114</v>
      </c>
      <c r="H104" s="21" t="s">
        <v>228</v>
      </c>
      <c r="I104" s="16" t="s">
        <v>11</v>
      </c>
      <c r="J104" s="16" t="s">
        <v>217</v>
      </c>
      <c r="K104" s="16" t="s">
        <v>222</v>
      </c>
      <c r="L104" s="16" t="s">
        <v>111</v>
      </c>
      <c r="M104" s="16" t="s">
        <v>424</v>
      </c>
      <c r="N104" s="23" t="str">
        <f>HYPERLINK("http://slimages.macys.com/is/image/MCY/8297667 ")</f>
        <v xml:space="preserve">http://slimages.macys.com/is/image/MCY/8297667 </v>
      </c>
    </row>
    <row r="105" spans="1:14" x14ac:dyDescent="0.25">
      <c r="A105" s="21" t="s">
        <v>4658</v>
      </c>
      <c r="B105" s="16" t="s">
        <v>4659</v>
      </c>
      <c r="C105" s="17">
        <v>2</v>
      </c>
      <c r="D105" s="22">
        <v>31.5</v>
      </c>
      <c r="E105" s="22">
        <v>63</v>
      </c>
      <c r="F105" s="17">
        <v>428</v>
      </c>
      <c r="G105" s="16" t="s">
        <v>102</v>
      </c>
      <c r="H105" s="21" t="s">
        <v>235</v>
      </c>
      <c r="I105" s="16" t="s">
        <v>11</v>
      </c>
      <c r="J105" s="16" t="s">
        <v>109</v>
      </c>
      <c r="K105" s="16" t="s">
        <v>2140</v>
      </c>
      <c r="L105" s="16"/>
      <c r="M105" s="16"/>
      <c r="N105" s="23"/>
    </row>
    <row r="106" spans="1:14" x14ac:dyDescent="0.25">
      <c r="A106" s="21" t="s">
        <v>3855</v>
      </c>
      <c r="B106" s="16" t="s">
        <v>3856</v>
      </c>
      <c r="C106" s="17">
        <v>1</v>
      </c>
      <c r="D106" s="22">
        <v>32.99</v>
      </c>
      <c r="E106" s="22">
        <v>32.99</v>
      </c>
      <c r="F106" s="17">
        <v>100127327</v>
      </c>
      <c r="G106" s="16" t="s">
        <v>37</v>
      </c>
      <c r="H106" s="21" t="s">
        <v>32</v>
      </c>
      <c r="I106" s="16" t="s">
        <v>11</v>
      </c>
      <c r="J106" s="16" t="s">
        <v>260</v>
      </c>
      <c r="K106" s="16" t="s">
        <v>261</v>
      </c>
      <c r="L106" s="16"/>
      <c r="M106" s="16"/>
      <c r="N106" s="23" t="str">
        <f>HYPERLINK("http://slimages.macys.com/is/image/MCY/19163088 ")</f>
        <v xml:space="preserve">http://slimages.macys.com/is/image/MCY/19163088 </v>
      </c>
    </row>
    <row r="107" spans="1:14" x14ac:dyDescent="0.25">
      <c r="A107" s="21" t="s">
        <v>4527</v>
      </c>
      <c r="B107" s="16" t="s">
        <v>4528</v>
      </c>
      <c r="C107" s="17">
        <v>1</v>
      </c>
      <c r="D107" s="22">
        <v>24.99</v>
      </c>
      <c r="E107" s="22">
        <v>24.99</v>
      </c>
      <c r="F107" s="17">
        <v>100071142</v>
      </c>
      <c r="G107" s="16" t="s">
        <v>37</v>
      </c>
      <c r="H107" s="21" t="s">
        <v>562</v>
      </c>
      <c r="I107" s="16" t="s">
        <v>11</v>
      </c>
      <c r="J107" s="16" t="s">
        <v>260</v>
      </c>
      <c r="K107" s="16" t="s">
        <v>996</v>
      </c>
      <c r="L107" s="16" t="s">
        <v>111</v>
      </c>
      <c r="M107" s="16" t="s">
        <v>985</v>
      </c>
      <c r="N107" s="23" t="str">
        <f>HYPERLINK("http://slimages.macys.com/is/image/MCY/14311381 ")</f>
        <v xml:space="preserve">http://slimages.macys.com/is/image/MCY/14311381 </v>
      </c>
    </row>
    <row r="108" spans="1:14" x14ac:dyDescent="0.25">
      <c r="A108" s="21" t="s">
        <v>4525</v>
      </c>
      <c r="B108" s="16" t="s">
        <v>4526</v>
      </c>
      <c r="C108" s="17">
        <v>1</v>
      </c>
      <c r="D108" s="22">
        <v>24.99</v>
      </c>
      <c r="E108" s="22">
        <v>24.99</v>
      </c>
      <c r="F108" s="17">
        <v>100107013</v>
      </c>
      <c r="G108" s="16" t="s">
        <v>37</v>
      </c>
      <c r="H108" s="21" t="s">
        <v>3857</v>
      </c>
      <c r="I108" s="16" t="s">
        <v>11</v>
      </c>
      <c r="J108" s="16" t="s">
        <v>260</v>
      </c>
      <c r="K108" s="16" t="s">
        <v>996</v>
      </c>
      <c r="L108" s="16"/>
      <c r="M108" s="16"/>
      <c r="N108" s="23" t="str">
        <f>HYPERLINK("http://slimages.macys.com/is/image/MCY/17854248 ")</f>
        <v xml:space="preserve">http://slimages.macys.com/is/image/MCY/17854248 </v>
      </c>
    </row>
    <row r="109" spans="1:14" x14ac:dyDescent="0.25">
      <c r="A109" s="21" t="s">
        <v>4519</v>
      </c>
      <c r="B109" s="16" t="s">
        <v>4520</v>
      </c>
      <c r="C109" s="17">
        <v>1</v>
      </c>
      <c r="D109" s="22">
        <v>32.99</v>
      </c>
      <c r="E109" s="22">
        <v>32.99</v>
      </c>
      <c r="F109" s="17">
        <v>100137708</v>
      </c>
      <c r="G109" s="16" t="s">
        <v>37</v>
      </c>
      <c r="H109" s="21" t="s">
        <v>40</v>
      </c>
      <c r="I109" s="16" t="s">
        <v>11</v>
      </c>
      <c r="J109" s="16" t="s">
        <v>260</v>
      </c>
      <c r="K109" s="16" t="s">
        <v>261</v>
      </c>
      <c r="L109" s="16"/>
      <c r="M109" s="16"/>
      <c r="N109" s="23" t="str">
        <f>HYPERLINK("http://slimages.macys.com/is/image/MCY/20345189 ")</f>
        <v xml:space="preserve">http://slimages.macys.com/is/image/MCY/20345189 </v>
      </c>
    </row>
    <row r="110" spans="1:14" x14ac:dyDescent="0.25">
      <c r="A110" s="21" t="s">
        <v>4529</v>
      </c>
      <c r="B110" s="16" t="s">
        <v>4530</v>
      </c>
      <c r="C110" s="17">
        <v>1</v>
      </c>
      <c r="D110" s="22">
        <v>9.99</v>
      </c>
      <c r="E110" s="22">
        <v>9.99</v>
      </c>
      <c r="F110" s="17">
        <v>100127534</v>
      </c>
      <c r="G110" s="16" t="s">
        <v>37</v>
      </c>
      <c r="H110" s="21"/>
      <c r="I110" s="16" t="s">
        <v>11</v>
      </c>
      <c r="J110" s="16" t="s">
        <v>260</v>
      </c>
      <c r="K110" s="16" t="s">
        <v>261</v>
      </c>
      <c r="L110" s="16"/>
      <c r="M110" s="16"/>
      <c r="N110" s="23" t="str">
        <f>HYPERLINK("http://slimages.macys.com/is/image/MCY/19168511 ")</f>
        <v xml:space="preserve">http://slimages.macys.com/is/image/MCY/19168511 </v>
      </c>
    </row>
    <row r="111" spans="1:14" x14ac:dyDescent="0.25">
      <c r="A111" s="21" t="s">
        <v>4517</v>
      </c>
      <c r="B111" s="16" t="s">
        <v>4518</v>
      </c>
      <c r="C111" s="17">
        <v>1</v>
      </c>
      <c r="D111" s="22">
        <v>39.99</v>
      </c>
      <c r="E111" s="22">
        <v>39.99</v>
      </c>
      <c r="F111" s="17" t="s">
        <v>3854</v>
      </c>
      <c r="G111" s="16" t="s">
        <v>37</v>
      </c>
      <c r="H111" s="21" t="s">
        <v>158</v>
      </c>
      <c r="I111" s="16" t="s">
        <v>11</v>
      </c>
      <c r="J111" s="16" t="s">
        <v>260</v>
      </c>
      <c r="K111" s="16" t="s">
        <v>261</v>
      </c>
      <c r="L111" s="16"/>
      <c r="M111" s="16"/>
      <c r="N111" s="23" t="str">
        <f>HYPERLINK("http://slimages.macys.com/is/image/MCY/19163201 ")</f>
        <v xml:space="preserve">http://slimages.macys.com/is/image/MCY/19163201 </v>
      </c>
    </row>
    <row r="112" spans="1:14" x14ac:dyDescent="0.25">
      <c r="A112" s="21" t="s">
        <v>4521</v>
      </c>
      <c r="B112" s="16" t="s">
        <v>4522</v>
      </c>
      <c r="C112" s="17">
        <v>1</v>
      </c>
      <c r="D112" s="22">
        <v>32.99</v>
      </c>
      <c r="E112" s="22">
        <v>32.99</v>
      </c>
      <c r="F112" s="17">
        <v>100137706</v>
      </c>
      <c r="G112" s="16" t="s">
        <v>78</v>
      </c>
      <c r="H112" s="21" t="s">
        <v>40</v>
      </c>
      <c r="I112" s="16" t="s">
        <v>11</v>
      </c>
      <c r="J112" s="16" t="s">
        <v>260</v>
      </c>
      <c r="K112" s="16" t="s">
        <v>261</v>
      </c>
      <c r="L112" s="16"/>
      <c r="M112" s="16"/>
      <c r="N112" s="23" t="str">
        <f>HYPERLINK("http://slimages.macys.com/is/image/MCY/20345058 ")</f>
        <v xml:space="preserve">http://slimages.macys.com/is/image/MCY/20345058 </v>
      </c>
    </row>
    <row r="113" spans="1:14" x14ac:dyDescent="0.25">
      <c r="A113" s="21" t="s">
        <v>4523</v>
      </c>
      <c r="B113" s="16" t="s">
        <v>4524</v>
      </c>
      <c r="C113" s="17">
        <v>1</v>
      </c>
      <c r="D113" s="22">
        <v>32.99</v>
      </c>
      <c r="E113" s="22">
        <v>32.99</v>
      </c>
      <c r="F113" s="17">
        <v>100137706</v>
      </c>
      <c r="G113" s="16" t="s">
        <v>78</v>
      </c>
      <c r="H113" s="21" t="s">
        <v>55</v>
      </c>
      <c r="I113" s="16" t="s">
        <v>11</v>
      </c>
      <c r="J113" s="16" t="s">
        <v>260</v>
      </c>
      <c r="K113" s="16" t="s">
        <v>261</v>
      </c>
      <c r="L113" s="16"/>
      <c r="M113" s="16"/>
      <c r="N113" s="23" t="str">
        <f>HYPERLINK("http://slimages.macys.com/is/image/MCY/20345058 ")</f>
        <v xml:space="preserve">http://slimages.macys.com/is/image/MCY/20345058 </v>
      </c>
    </row>
    <row r="114" spans="1:14" x14ac:dyDescent="0.25">
      <c r="A114" s="21" t="s">
        <v>3850</v>
      </c>
      <c r="B114" s="16" t="s">
        <v>3851</v>
      </c>
      <c r="C114" s="17">
        <v>1</v>
      </c>
      <c r="D114" s="22">
        <v>37.99</v>
      </c>
      <c r="E114" s="22">
        <v>37.99</v>
      </c>
      <c r="F114" s="17">
        <v>100127326</v>
      </c>
      <c r="G114" s="16" t="s">
        <v>37</v>
      </c>
      <c r="H114" s="21" t="s">
        <v>262</v>
      </c>
      <c r="I114" s="16" t="s">
        <v>11</v>
      </c>
      <c r="J114" s="16" t="s">
        <v>260</v>
      </c>
      <c r="K114" s="16" t="s">
        <v>261</v>
      </c>
      <c r="L114" s="16"/>
      <c r="M114" s="16"/>
      <c r="N114" s="23" t="str">
        <f>HYPERLINK("http://slimages.macys.com/is/image/MCY/19163255 ")</f>
        <v xml:space="preserve">http://slimages.macys.com/is/image/MCY/19163255 </v>
      </c>
    </row>
    <row r="115" spans="1:14" x14ac:dyDescent="0.25">
      <c r="A115" s="21" t="s">
        <v>4419</v>
      </c>
      <c r="B115" s="16" t="s">
        <v>4420</v>
      </c>
      <c r="C115" s="17">
        <v>1</v>
      </c>
      <c r="D115" s="22">
        <v>31.5</v>
      </c>
      <c r="E115" s="22">
        <v>31.5</v>
      </c>
      <c r="F115" s="17" t="s">
        <v>387</v>
      </c>
      <c r="G115" s="16" t="s">
        <v>85</v>
      </c>
      <c r="H115" s="21" t="s">
        <v>40</v>
      </c>
      <c r="I115" s="16" t="s">
        <v>11</v>
      </c>
      <c r="J115" s="16" t="s">
        <v>343</v>
      </c>
      <c r="K115" s="16" t="s">
        <v>354</v>
      </c>
      <c r="L115" s="16"/>
      <c r="M115" s="16"/>
      <c r="N115" s="23" t="str">
        <f>HYPERLINK("http://slimages.macys.com/is/image/MCY/19743013 ")</f>
        <v xml:space="preserve">http://slimages.macys.com/is/image/MCY/19743013 </v>
      </c>
    </row>
    <row r="116" spans="1:14" x14ac:dyDescent="0.25">
      <c r="A116" s="21" t="s">
        <v>1798</v>
      </c>
      <c r="B116" s="16" t="s">
        <v>1799</v>
      </c>
      <c r="C116" s="17">
        <v>1</v>
      </c>
      <c r="D116" s="22">
        <v>58.5</v>
      </c>
      <c r="E116" s="22">
        <v>58.5</v>
      </c>
      <c r="F116" s="17" t="s">
        <v>979</v>
      </c>
      <c r="G116" s="16" t="s">
        <v>31</v>
      </c>
      <c r="H116" s="21" t="s">
        <v>40</v>
      </c>
      <c r="I116" s="16" t="s">
        <v>11</v>
      </c>
      <c r="J116" s="16" t="s">
        <v>240</v>
      </c>
      <c r="K116" s="16" t="s">
        <v>241</v>
      </c>
      <c r="L116" s="16"/>
      <c r="M116" s="16"/>
      <c r="N116" s="23" t="str">
        <f>HYPERLINK("http://slimages.macys.com/is/image/MCY/19630676 ")</f>
        <v xml:space="preserve">http://slimages.macys.com/is/image/MCY/19630676 </v>
      </c>
    </row>
    <row r="117" spans="1:14" x14ac:dyDescent="0.25">
      <c r="A117" s="21" t="s">
        <v>4505</v>
      </c>
      <c r="B117" s="16" t="s">
        <v>4506</v>
      </c>
      <c r="C117" s="17">
        <v>1</v>
      </c>
      <c r="D117" s="22">
        <v>51</v>
      </c>
      <c r="E117" s="22">
        <v>51</v>
      </c>
      <c r="F117" s="17" t="s">
        <v>4507</v>
      </c>
      <c r="G117" s="16" t="s">
        <v>82</v>
      </c>
      <c r="H117" s="21" t="s">
        <v>55</v>
      </c>
      <c r="I117" s="16" t="s">
        <v>11</v>
      </c>
      <c r="J117" s="16" t="s">
        <v>240</v>
      </c>
      <c r="K117" s="16" t="s">
        <v>241</v>
      </c>
      <c r="L117" s="16"/>
      <c r="M117" s="16"/>
      <c r="N117" s="23" t="str">
        <f>HYPERLINK("http://slimages.macys.com/is/image/MCY/20119417 ")</f>
        <v xml:space="preserve">http://slimages.macys.com/is/image/MCY/20119417 </v>
      </c>
    </row>
    <row r="118" spans="1:14" x14ac:dyDescent="0.25">
      <c r="A118" s="21" t="s">
        <v>4502</v>
      </c>
      <c r="B118" s="16" t="s">
        <v>4503</v>
      </c>
      <c r="C118" s="17">
        <v>1</v>
      </c>
      <c r="D118" s="22">
        <v>20</v>
      </c>
      <c r="E118" s="22">
        <v>20</v>
      </c>
      <c r="F118" s="17">
        <v>3202</v>
      </c>
      <c r="G118" s="16" t="s">
        <v>230</v>
      </c>
      <c r="H118" s="21" t="s">
        <v>40</v>
      </c>
      <c r="I118" s="16" t="s">
        <v>893</v>
      </c>
      <c r="J118" s="16" t="s">
        <v>233</v>
      </c>
      <c r="K118" s="16" t="s">
        <v>970</v>
      </c>
      <c r="L118" s="16" t="s">
        <v>220</v>
      </c>
      <c r="M118" s="16" t="s">
        <v>4504</v>
      </c>
      <c r="N118" s="23" t="str">
        <f>HYPERLINK("http://images.bloomingdales.com/is/image/BLM/9743635 ")</f>
        <v xml:space="preserve">http://images.bloomingdales.com/is/image/BLM/9743635 </v>
      </c>
    </row>
    <row r="119" spans="1:14" x14ac:dyDescent="0.25">
      <c r="A119" s="21" t="s">
        <v>4170</v>
      </c>
      <c r="B119" s="16" t="s">
        <v>4171</v>
      </c>
      <c r="C119" s="17">
        <v>1</v>
      </c>
      <c r="D119" s="22">
        <v>48</v>
      </c>
      <c r="E119" s="22">
        <v>48</v>
      </c>
      <c r="F119" s="17">
        <v>57949</v>
      </c>
      <c r="G119" s="16" t="s">
        <v>357</v>
      </c>
      <c r="H119" s="21" t="s">
        <v>32</v>
      </c>
      <c r="I119" s="16" t="s">
        <v>11</v>
      </c>
      <c r="J119" s="16" t="s">
        <v>343</v>
      </c>
      <c r="K119" s="16" t="s">
        <v>347</v>
      </c>
      <c r="L119" s="16"/>
      <c r="M119" s="16"/>
      <c r="N119" s="23" t="str">
        <f>HYPERLINK("http://slimages.macys.com/is/image/MCY/18394703 ")</f>
        <v xml:space="preserve">http://slimages.macys.com/is/image/MCY/18394703 </v>
      </c>
    </row>
    <row r="120" spans="1:14" x14ac:dyDescent="0.25">
      <c r="A120" s="21" t="s">
        <v>1273</v>
      </c>
      <c r="B120" s="16" t="s">
        <v>1274</v>
      </c>
      <c r="C120" s="17">
        <v>1</v>
      </c>
      <c r="D120" s="22">
        <v>28.99</v>
      </c>
      <c r="E120" s="22">
        <v>28.99</v>
      </c>
      <c r="F120" s="17" t="s">
        <v>389</v>
      </c>
      <c r="G120" s="16" t="s">
        <v>31</v>
      </c>
      <c r="H120" s="21" t="s">
        <v>40</v>
      </c>
      <c r="I120" s="16" t="s">
        <v>11</v>
      </c>
      <c r="J120" s="16" t="s">
        <v>343</v>
      </c>
      <c r="K120" s="16" t="s">
        <v>372</v>
      </c>
      <c r="L120" s="16"/>
      <c r="M120" s="16"/>
      <c r="N120" s="23" t="str">
        <f>HYPERLINK("http://slimages.macys.com/is/image/MCY/20468762 ")</f>
        <v xml:space="preserve">http://slimages.macys.com/is/image/MCY/20468762 </v>
      </c>
    </row>
    <row r="121" spans="1:14" x14ac:dyDescent="0.25">
      <c r="A121" s="21" t="s">
        <v>1275</v>
      </c>
      <c r="B121" s="16" t="s">
        <v>1276</v>
      </c>
      <c r="C121" s="17">
        <v>1</v>
      </c>
      <c r="D121" s="22">
        <v>28.99</v>
      </c>
      <c r="E121" s="22">
        <v>28.99</v>
      </c>
      <c r="F121" s="17" t="s">
        <v>389</v>
      </c>
      <c r="G121" s="16" t="s">
        <v>31</v>
      </c>
      <c r="H121" s="21" t="s">
        <v>27</v>
      </c>
      <c r="I121" s="16" t="s">
        <v>11</v>
      </c>
      <c r="J121" s="16" t="s">
        <v>343</v>
      </c>
      <c r="K121" s="16" t="s">
        <v>372</v>
      </c>
      <c r="L121" s="16"/>
      <c r="M121" s="16"/>
      <c r="N121" s="23" t="str">
        <f>HYPERLINK("http://slimages.macys.com/is/image/MCY/20468762 ")</f>
        <v xml:space="preserve">http://slimages.macys.com/is/image/MCY/20468762 </v>
      </c>
    </row>
    <row r="122" spans="1:14" x14ac:dyDescent="0.25">
      <c r="A122" s="21" t="s">
        <v>1977</v>
      </c>
      <c r="B122" s="16" t="s">
        <v>1978</v>
      </c>
      <c r="C122" s="17">
        <v>2</v>
      </c>
      <c r="D122" s="22">
        <v>28.99</v>
      </c>
      <c r="E122" s="22">
        <v>57.98</v>
      </c>
      <c r="F122" s="17" t="s">
        <v>1279</v>
      </c>
      <c r="G122" s="16" t="s">
        <v>135</v>
      </c>
      <c r="H122" s="21" t="s">
        <v>40</v>
      </c>
      <c r="I122" s="16" t="s">
        <v>11</v>
      </c>
      <c r="J122" s="16" t="s">
        <v>343</v>
      </c>
      <c r="K122" s="16" t="s">
        <v>372</v>
      </c>
      <c r="L122" s="16"/>
      <c r="M122" s="16"/>
      <c r="N122" s="23" t="str">
        <f>HYPERLINK("http://slimages.macys.com/is/image/MCY/19907141 ")</f>
        <v xml:space="preserve">http://slimages.macys.com/is/image/MCY/19907141 </v>
      </c>
    </row>
    <row r="123" spans="1:14" x14ac:dyDescent="0.25">
      <c r="A123" s="21" t="s">
        <v>1280</v>
      </c>
      <c r="B123" s="16" t="s">
        <v>1281</v>
      </c>
      <c r="C123" s="17">
        <v>1</v>
      </c>
      <c r="D123" s="22">
        <v>28.99</v>
      </c>
      <c r="E123" s="22">
        <v>28.99</v>
      </c>
      <c r="F123" s="17" t="s">
        <v>1279</v>
      </c>
      <c r="G123" s="16" t="s">
        <v>135</v>
      </c>
      <c r="H123" s="21" t="s">
        <v>55</v>
      </c>
      <c r="I123" s="16" t="s">
        <v>11</v>
      </c>
      <c r="J123" s="16" t="s">
        <v>343</v>
      </c>
      <c r="K123" s="16" t="s">
        <v>372</v>
      </c>
      <c r="L123" s="16"/>
      <c r="M123" s="16"/>
      <c r="N123" s="23" t="str">
        <f>HYPERLINK("http://slimages.macys.com/is/image/MCY/19907141 ")</f>
        <v xml:space="preserve">http://slimages.macys.com/is/image/MCY/19907141 </v>
      </c>
    </row>
    <row r="124" spans="1:14" x14ac:dyDescent="0.25">
      <c r="A124" s="21" t="s">
        <v>4622</v>
      </c>
      <c r="B124" s="16" t="s">
        <v>4623</v>
      </c>
      <c r="C124" s="17">
        <v>2</v>
      </c>
      <c r="D124" s="22">
        <v>28.99</v>
      </c>
      <c r="E124" s="22">
        <v>57.98</v>
      </c>
      <c r="F124" s="17" t="s">
        <v>1288</v>
      </c>
      <c r="G124" s="16" t="s">
        <v>137</v>
      </c>
      <c r="H124" s="21" t="s">
        <v>40</v>
      </c>
      <c r="I124" s="16" t="s">
        <v>11</v>
      </c>
      <c r="J124" s="16" t="s">
        <v>343</v>
      </c>
      <c r="K124" s="16" t="s">
        <v>372</v>
      </c>
      <c r="L124" s="16"/>
      <c r="M124" s="16"/>
      <c r="N124" s="23" t="str">
        <f>HYPERLINK("http://slimages.macys.com/is/image/MCY/19907141 ")</f>
        <v xml:space="preserve">http://slimages.macys.com/is/image/MCY/19907141 </v>
      </c>
    </row>
    <row r="125" spans="1:14" x14ac:dyDescent="0.25">
      <c r="A125" s="21" t="s">
        <v>1286</v>
      </c>
      <c r="B125" s="16" t="s">
        <v>1287</v>
      </c>
      <c r="C125" s="17">
        <v>2</v>
      </c>
      <c r="D125" s="22">
        <v>28.99</v>
      </c>
      <c r="E125" s="22">
        <v>57.98</v>
      </c>
      <c r="F125" s="17" t="s">
        <v>1288</v>
      </c>
      <c r="G125" s="16" t="s">
        <v>137</v>
      </c>
      <c r="H125" s="21" t="s">
        <v>55</v>
      </c>
      <c r="I125" s="16" t="s">
        <v>11</v>
      </c>
      <c r="J125" s="16" t="s">
        <v>343</v>
      </c>
      <c r="K125" s="16" t="s">
        <v>372</v>
      </c>
      <c r="L125" s="16"/>
      <c r="M125" s="16"/>
      <c r="N125" s="23" t="str">
        <f>HYPERLINK("http://slimages.macys.com/is/image/MCY/19907141 ")</f>
        <v xml:space="preserve">http://slimages.macys.com/is/image/MCY/19907141 </v>
      </c>
    </row>
    <row r="126" spans="1:14" x14ac:dyDescent="0.25">
      <c r="A126" s="21" t="s">
        <v>2597</v>
      </c>
      <c r="B126" s="16" t="s">
        <v>2598</v>
      </c>
      <c r="C126" s="17">
        <v>1</v>
      </c>
      <c r="D126" s="22">
        <v>28.99</v>
      </c>
      <c r="E126" s="22">
        <v>28.99</v>
      </c>
      <c r="F126" s="17" t="s">
        <v>1288</v>
      </c>
      <c r="G126" s="16" t="s">
        <v>137</v>
      </c>
      <c r="H126" s="21" t="s">
        <v>27</v>
      </c>
      <c r="I126" s="16" t="s">
        <v>11</v>
      </c>
      <c r="J126" s="16" t="s">
        <v>343</v>
      </c>
      <c r="K126" s="16" t="s">
        <v>372</v>
      </c>
      <c r="L126" s="16"/>
      <c r="M126" s="16"/>
      <c r="N126" s="23" t="str">
        <f>HYPERLINK("http://slimages.macys.com/is/image/MCY/19907141 ")</f>
        <v xml:space="preserve">http://slimages.macys.com/is/image/MCY/19907141 </v>
      </c>
    </row>
    <row r="127" spans="1:14" x14ac:dyDescent="0.25">
      <c r="A127" s="21" t="s">
        <v>1759</v>
      </c>
      <c r="B127" s="16" t="s">
        <v>1760</v>
      </c>
      <c r="C127" s="17">
        <v>2</v>
      </c>
      <c r="D127" s="22">
        <v>28.99</v>
      </c>
      <c r="E127" s="22">
        <v>57.98</v>
      </c>
      <c r="F127" s="17" t="s">
        <v>1761</v>
      </c>
      <c r="G127" s="16" t="s">
        <v>195</v>
      </c>
      <c r="H127" s="21" t="s">
        <v>32</v>
      </c>
      <c r="I127" s="16" t="s">
        <v>11</v>
      </c>
      <c r="J127" s="16" t="s">
        <v>343</v>
      </c>
      <c r="K127" s="16" t="s">
        <v>372</v>
      </c>
      <c r="L127" s="16"/>
      <c r="M127" s="16"/>
      <c r="N127" s="23" t="str">
        <f>HYPERLINK("http://slimages.macys.com/is/image/MCY/20468754 ")</f>
        <v xml:space="preserve">http://slimages.macys.com/is/image/MCY/20468754 </v>
      </c>
    </row>
    <row r="128" spans="1:14" x14ac:dyDescent="0.25">
      <c r="A128" s="21" t="s">
        <v>4615</v>
      </c>
      <c r="B128" s="16" t="s">
        <v>4616</v>
      </c>
      <c r="C128" s="17">
        <v>1</v>
      </c>
      <c r="D128" s="22">
        <v>28.99</v>
      </c>
      <c r="E128" s="22">
        <v>28.99</v>
      </c>
      <c r="F128" s="17" t="s">
        <v>1761</v>
      </c>
      <c r="G128" s="16" t="s">
        <v>195</v>
      </c>
      <c r="H128" s="21" t="s">
        <v>27</v>
      </c>
      <c r="I128" s="16" t="s">
        <v>11</v>
      </c>
      <c r="J128" s="16" t="s">
        <v>343</v>
      </c>
      <c r="K128" s="16" t="s">
        <v>372</v>
      </c>
      <c r="L128" s="16"/>
      <c r="M128" s="16"/>
      <c r="N128" s="23" t="str">
        <f>HYPERLINK("http://slimages.macys.com/is/image/MCY/20468754 ")</f>
        <v xml:space="preserve">http://slimages.macys.com/is/image/MCY/20468754 </v>
      </c>
    </row>
    <row r="129" spans="1:14" x14ac:dyDescent="0.25">
      <c r="A129" s="21" t="s">
        <v>1282</v>
      </c>
      <c r="B129" s="16" t="s">
        <v>1283</v>
      </c>
      <c r="C129" s="17">
        <v>1</v>
      </c>
      <c r="D129" s="22">
        <v>28.99</v>
      </c>
      <c r="E129" s="22">
        <v>28.99</v>
      </c>
      <c r="F129" s="17" t="s">
        <v>1284</v>
      </c>
      <c r="G129" s="16" t="s">
        <v>31</v>
      </c>
      <c r="H129" s="21" t="s">
        <v>55</v>
      </c>
      <c r="I129" s="16" t="s">
        <v>11</v>
      </c>
      <c r="J129" s="16" t="s">
        <v>343</v>
      </c>
      <c r="K129" s="16" t="s">
        <v>372</v>
      </c>
      <c r="L129" s="16"/>
      <c r="M129" s="16"/>
      <c r="N129" s="23" t="str">
        <f>HYPERLINK("http://slimages.macys.com/is/image/MCY/20468718 ")</f>
        <v xml:space="preserve">http://slimages.macys.com/is/image/MCY/20468718 </v>
      </c>
    </row>
    <row r="130" spans="1:14" x14ac:dyDescent="0.25">
      <c r="A130" s="21" t="s">
        <v>4541</v>
      </c>
      <c r="B130" s="16" t="s">
        <v>4542</v>
      </c>
      <c r="C130" s="17">
        <v>1</v>
      </c>
      <c r="D130" s="22">
        <v>39.99</v>
      </c>
      <c r="E130" s="22">
        <v>39.99</v>
      </c>
      <c r="F130" s="17" t="s">
        <v>733</v>
      </c>
      <c r="G130" s="16" t="s">
        <v>205</v>
      </c>
      <c r="H130" s="21" t="s">
        <v>55</v>
      </c>
      <c r="I130" s="16" t="s">
        <v>11</v>
      </c>
      <c r="J130" s="16" t="s">
        <v>263</v>
      </c>
      <c r="K130" s="16" t="s">
        <v>264</v>
      </c>
      <c r="L130" s="16" t="s">
        <v>111</v>
      </c>
      <c r="M130" s="16" t="s">
        <v>734</v>
      </c>
      <c r="N130" s="23" t="str">
        <f>HYPERLINK("http://slimages.macys.com/is/image/MCY/18445392 ")</f>
        <v xml:space="preserve">http://slimages.macys.com/is/image/MCY/18445392 </v>
      </c>
    </row>
    <row r="131" spans="1:14" x14ac:dyDescent="0.25">
      <c r="A131" s="21" t="s">
        <v>3739</v>
      </c>
      <c r="B131" s="16" t="s">
        <v>3740</v>
      </c>
      <c r="C131" s="17">
        <v>1</v>
      </c>
      <c r="D131" s="22">
        <v>34.99</v>
      </c>
      <c r="E131" s="22">
        <v>34.99</v>
      </c>
      <c r="F131" s="17" t="s">
        <v>3741</v>
      </c>
      <c r="G131" s="16" t="s">
        <v>104</v>
      </c>
      <c r="H131" s="21" t="s">
        <v>32</v>
      </c>
      <c r="I131" s="16" t="s">
        <v>11</v>
      </c>
      <c r="J131" s="16" t="s">
        <v>263</v>
      </c>
      <c r="K131" s="16" t="s">
        <v>264</v>
      </c>
      <c r="L131" s="16"/>
      <c r="M131" s="16"/>
      <c r="N131" s="23" t="str">
        <f>HYPERLINK("http://slimages.macys.com/is/image/MCY/18613652 ")</f>
        <v xml:space="preserve">http://slimages.macys.com/is/image/MCY/18613652 </v>
      </c>
    </row>
    <row r="132" spans="1:14" x14ac:dyDescent="0.25">
      <c r="A132" s="21" t="s">
        <v>3966</v>
      </c>
      <c r="B132" s="16" t="s">
        <v>3967</v>
      </c>
      <c r="C132" s="17">
        <v>1</v>
      </c>
      <c r="D132" s="22">
        <v>34.99</v>
      </c>
      <c r="E132" s="22">
        <v>34.99</v>
      </c>
      <c r="F132" s="17" t="s">
        <v>3600</v>
      </c>
      <c r="G132" s="16" t="s">
        <v>31</v>
      </c>
      <c r="H132" s="21" t="s">
        <v>27</v>
      </c>
      <c r="I132" s="16" t="s">
        <v>11</v>
      </c>
      <c r="J132" s="16" t="s">
        <v>263</v>
      </c>
      <c r="K132" s="16" t="s">
        <v>264</v>
      </c>
      <c r="L132" s="16"/>
      <c r="M132" s="16"/>
      <c r="N132" s="23" t="str">
        <f>HYPERLINK("http://slimages.macys.com/is/image/MCY/18613652 ")</f>
        <v xml:space="preserve">http://slimages.macys.com/is/image/MCY/18613652 </v>
      </c>
    </row>
    <row r="133" spans="1:14" x14ac:dyDescent="0.25">
      <c r="A133" s="21" t="s">
        <v>3598</v>
      </c>
      <c r="B133" s="16" t="s">
        <v>3599</v>
      </c>
      <c r="C133" s="17">
        <v>2</v>
      </c>
      <c r="D133" s="22">
        <v>34.99</v>
      </c>
      <c r="E133" s="22">
        <v>69.98</v>
      </c>
      <c r="F133" s="17" t="s">
        <v>3600</v>
      </c>
      <c r="G133" s="16" t="s">
        <v>31</v>
      </c>
      <c r="H133" s="21" t="s">
        <v>87</v>
      </c>
      <c r="I133" s="16" t="s">
        <v>11</v>
      </c>
      <c r="J133" s="16" t="s">
        <v>263</v>
      </c>
      <c r="K133" s="16" t="s">
        <v>264</v>
      </c>
      <c r="L133" s="16"/>
      <c r="M133" s="16"/>
      <c r="N133" s="23" t="str">
        <f>HYPERLINK("http://slimages.macys.com/is/image/MCY/18613533 ")</f>
        <v xml:space="preserve">http://slimages.macys.com/is/image/MCY/18613533 </v>
      </c>
    </row>
    <row r="134" spans="1:14" x14ac:dyDescent="0.25">
      <c r="A134" s="21" t="s">
        <v>4543</v>
      </c>
      <c r="B134" s="16" t="s">
        <v>4544</v>
      </c>
      <c r="C134" s="17">
        <v>1</v>
      </c>
      <c r="D134" s="22">
        <v>34.99</v>
      </c>
      <c r="E134" s="22">
        <v>34.99</v>
      </c>
      <c r="F134" s="17" t="s">
        <v>4545</v>
      </c>
      <c r="G134" s="16" t="s">
        <v>62</v>
      </c>
      <c r="H134" s="21" t="s">
        <v>32</v>
      </c>
      <c r="I134" s="16" t="s">
        <v>11</v>
      </c>
      <c r="J134" s="16" t="s">
        <v>263</v>
      </c>
      <c r="K134" s="16" t="s">
        <v>264</v>
      </c>
      <c r="L134" s="16"/>
      <c r="M134" s="16"/>
      <c r="N134" s="23" t="str">
        <f>HYPERLINK("http://slimages.macys.com/is/image/MCY/18999686 ")</f>
        <v xml:space="preserve">http://slimages.macys.com/is/image/MCY/18999686 </v>
      </c>
    </row>
    <row r="135" spans="1:14" x14ac:dyDescent="0.25">
      <c r="A135" s="21" t="s">
        <v>4534</v>
      </c>
      <c r="B135" s="16" t="s">
        <v>4535</v>
      </c>
      <c r="C135" s="17">
        <v>1</v>
      </c>
      <c r="D135" s="22">
        <v>42.99</v>
      </c>
      <c r="E135" s="22">
        <v>42.99</v>
      </c>
      <c r="F135" s="17" t="s">
        <v>4536</v>
      </c>
      <c r="G135" s="16" t="s">
        <v>58</v>
      </c>
      <c r="H135" s="21" t="s">
        <v>87</v>
      </c>
      <c r="I135" s="16" t="s">
        <v>11</v>
      </c>
      <c r="J135" s="16" t="s">
        <v>263</v>
      </c>
      <c r="K135" s="16" t="s">
        <v>264</v>
      </c>
      <c r="L135" s="16"/>
      <c r="M135" s="16"/>
      <c r="N135" s="23" t="str">
        <f>HYPERLINK("http://slimages.macys.com/is/image/MCY/18430218 ")</f>
        <v xml:space="preserve">http://slimages.macys.com/is/image/MCY/18430218 </v>
      </c>
    </row>
    <row r="136" spans="1:14" x14ac:dyDescent="0.25">
      <c r="A136" s="21" t="s">
        <v>3786</v>
      </c>
      <c r="B136" s="16" t="s">
        <v>3787</v>
      </c>
      <c r="C136" s="17">
        <v>1</v>
      </c>
      <c r="D136" s="22">
        <v>42.99</v>
      </c>
      <c r="E136" s="22">
        <v>42.99</v>
      </c>
      <c r="F136" s="17" t="s">
        <v>727</v>
      </c>
      <c r="G136" s="16" t="s">
        <v>104</v>
      </c>
      <c r="H136" s="21" t="s">
        <v>32</v>
      </c>
      <c r="I136" s="16" t="s">
        <v>11</v>
      </c>
      <c r="J136" s="16" t="s">
        <v>263</v>
      </c>
      <c r="K136" s="16" t="s">
        <v>264</v>
      </c>
      <c r="L136" s="16"/>
      <c r="M136" s="16"/>
      <c r="N136" s="23" t="str">
        <f>HYPERLINK("http://slimages.macys.com/is/image/MCY/19713015 ")</f>
        <v xml:space="preserve">http://slimages.macys.com/is/image/MCY/19713015 </v>
      </c>
    </row>
    <row r="137" spans="1:14" x14ac:dyDescent="0.25">
      <c r="A137" s="21" t="s">
        <v>434</v>
      </c>
      <c r="B137" s="16" t="s">
        <v>435</v>
      </c>
      <c r="C137" s="17">
        <v>1</v>
      </c>
      <c r="D137" s="22">
        <v>40</v>
      </c>
      <c r="E137" s="22">
        <v>40</v>
      </c>
      <c r="F137" s="17">
        <v>100082360</v>
      </c>
      <c r="G137" s="16" t="s">
        <v>205</v>
      </c>
      <c r="H137" s="21" t="s">
        <v>32</v>
      </c>
      <c r="I137" s="16" t="s">
        <v>11</v>
      </c>
      <c r="J137" s="16" t="s">
        <v>427</v>
      </c>
      <c r="K137" s="16" t="s">
        <v>428</v>
      </c>
      <c r="L137" s="16"/>
      <c r="M137" s="16"/>
      <c r="N137" s="23" t="str">
        <f>HYPERLINK("http://slimages.macys.com/is/image/MCY/919137 ")</f>
        <v xml:space="preserve">http://slimages.macys.com/is/image/MCY/919137 </v>
      </c>
    </row>
    <row r="138" spans="1:14" x14ac:dyDescent="0.25">
      <c r="A138" s="21" t="s">
        <v>785</v>
      </c>
      <c r="B138" s="16" t="s">
        <v>786</v>
      </c>
      <c r="C138" s="17">
        <v>1</v>
      </c>
      <c r="D138" s="22">
        <v>40</v>
      </c>
      <c r="E138" s="22">
        <v>40</v>
      </c>
      <c r="F138" s="17">
        <v>100082360</v>
      </c>
      <c r="G138" s="16" t="s">
        <v>205</v>
      </c>
      <c r="H138" s="21" t="s">
        <v>87</v>
      </c>
      <c r="I138" s="16" t="s">
        <v>11</v>
      </c>
      <c r="J138" s="16" t="s">
        <v>427</v>
      </c>
      <c r="K138" s="16" t="s">
        <v>428</v>
      </c>
      <c r="L138" s="16"/>
      <c r="M138" s="16"/>
      <c r="N138" s="23" t="str">
        <f>HYPERLINK("http://slimages.macys.com/is/image/MCY/919137 ")</f>
        <v xml:space="preserve">http://slimages.macys.com/is/image/MCY/919137 </v>
      </c>
    </row>
    <row r="139" spans="1:14" x14ac:dyDescent="0.25">
      <c r="A139" s="21" t="s">
        <v>1361</v>
      </c>
      <c r="B139" s="16" t="s">
        <v>1362</v>
      </c>
      <c r="C139" s="17">
        <v>1</v>
      </c>
      <c r="D139" s="22">
        <v>40</v>
      </c>
      <c r="E139" s="22">
        <v>40</v>
      </c>
      <c r="F139" s="17">
        <v>100082360</v>
      </c>
      <c r="G139" s="16" t="s">
        <v>82</v>
      </c>
      <c r="H139" s="21" t="s">
        <v>32</v>
      </c>
      <c r="I139" s="16" t="s">
        <v>11</v>
      </c>
      <c r="J139" s="16" t="s">
        <v>427</v>
      </c>
      <c r="K139" s="16" t="s">
        <v>428</v>
      </c>
      <c r="L139" s="16"/>
      <c r="M139" s="16"/>
      <c r="N139" s="23" t="str">
        <f>HYPERLINK("http://slimages.macys.com/is/image/MCY/16795242 ")</f>
        <v xml:space="preserve">http://slimages.macys.com/is/image/MCY/16795242 </v>
      </c>
    </row>
    <row r="140" spans="1:14" x14ac:dyDescent="0.25">
      <c r="A140" s="21" t="s">
        <v>4635</v>
      </c>
      <c r="B140" s="16" t="s">
        <v>4636</v>
      </c>
      <c r="C140" s="17">
        <v>1</v>
      </c>
      <c r="D140" s="22">
        <v>40</v>
      </c>
      <c r="E140" s="22">
        <v>40</v>
      </c>
      <c r="F140" s="17">
        <v>100082360</v>
      </c>
      <c r="G140" s="16" t="s">
        <v>82</v>
      </c>
      <c r="H140" s="21" t="s">
        <v>87</v>
      </c>
      <c r="I140" s="16" t="s">
        <v>11</v>
      </c>
      <c r="J140" s="16" t="s">
        <v>427</v>
      </c>
      <c r="K140" s="16" t="s">
        <v>428</v>
      </c>
      <c r="L140" s="16"/>
      <c r="M140" s="16"/>
      <c r="N140" s="23" t="str">
        <f>HYPERLINK("http://slimages.macys.com/is/image/MCY/16795242 ")</f>
        <v xml:space="preserve">http://slimages.macys.com/is/image/MCY/16795242 </v>
      </c>
    </row>
    <row r="141" spans="1:14" x14ac:dyDescent="0.25">
      <c r="A141" s="21" t="s">
        <v>4537</v>
      </c>
      <c r="B141" s="16" t="s">
        <v>4538</v>
      </c>
      <c r="C141" s="17">
        <v>1</v>
      </c>
      <c r="D141" s="22">
        <v>39.99</v>
      </c>
      <c r="E141" s="22">
        <v>39.99</v>
      </c>
      <c r="F141" s="17" t="s">
        <v>1200</v>
      </c>
      <c r="G141" s="16" t="s">
        <v>83</v>
      </c>
      <c r="H141" s="21" t="s">
        <v>32</v>
      </c>
      <c r="I141" s="16" t="s">
        <v>11</v>
      </c>
      <c r="J141" s="16" t="s">
        <v>263</v>
      </c>
      <c r="K141" s="16" t="s">
        <v>264</v>
      </c>
      <c r="L141" s="16"/>
      <c r="M141" s="16"/>
      <c r="N141" s="23" t="str">
        <f>HYPERLINK("http://slimages.macys.com/is/image/MCY/18680566 ")</f>
        <v xml:space="preserve">http://slimages.macys.com/is/image/MCY/18680566 </v>
      </c>
    </row>
    <row r="142" spans="1:14" x14ac:dyDescent="0.25">
      <c r="A142" s="21" t="s">
        <v>4539</v>
      </c>
      <c r="B142" s="16" t="s">
        <v>4540</v>
      </c>
      <c r="C142" s="17">
        <v>1</v>
      </c>
      <c r="D142" s="22">
        <v>39.99</v>
      </c>
      <c r="E142" s="22">
        <v>39.99</v>
      </c>
      <c r="F142" s="17" t="s">
        <v>4416</v>
      </c>
      <c r="G142" s="16" t="s">
        <v>122</v>
      </c>
      <c r="H142" s="21" t="s">
        <v>27</v>
      </c>
      <c r="I142" s="16" t="s">
        <v>11</v>
      </c>
      <c r="J142" s="16" t="s">
        <v>263</v>
      </c>
      <c r="K142" s="16" t="s">
        <v>264</v>
      </c>
      <c r="L142" s="16"/>
      <c r="M142" s="16"/>
      <c r="N142" s="23" t="str">
        <f>HYPERLINK("http://slimages.macys.com/is/image/MCY/18680566 ")</f>
        <v xml:space="preserve">http://slimages.macys.com/is/image/MCY/18680566 </v>
      </c>
    </row>
    <row r="143" spans="1:14" x14ac:dyDescent="0.25">
      <c r="A143" s="21" t="s">
        <v>4531</v>
      </c>
      <c r="B143" s="16" t="s">
        <v>4532</v>
      </c>
      <c r="C143" s="17">
        <v>1</v>
      </c>
      <c r="D143" s="22">
        <v>49.99</v>
      </c>
      <c r="E143" s="22">
        <v>49.99</v>
      </c>
      <c r="F143" s="17" t="s">
        <v>4533</v>
      </c>
      <c r="G143" s="16" t="s">
        <v>62</v>
      </c>
      <c r="H143" s="21" t="s">
        <v>87</v>
      </c>
      <c r="I143" s="16" t="s">
        <v>11</v>
      </c>
      <c r="J143" s="16" t="s">
        <v>263</v>
      </c>
      <c r="K143" s="16" t="s">
        <v>264</v>
      </c>
      <c r="L143" s="16"/>
      <c r="M143" s="16"/>
      <c r="N143" s="23" t="str">
        <f>HYPERLINK("http://slimages.macys.com/is/image/MCY/18680588 ")</f>
        <v xml:space="preserve">http://slimages.macys.com/is/image/MCY/18680588 </v>
      </c>
    </row>
    <row r="144" spans="1:14" x14ac:dyDescent="0.25">
      <c r="A144" s="21" t="s">
        <v>4637</v>
      </c>
      <c r="B144" s="16" t="s">
        <v>4638</v>
      </c>
      <c r="C144" s="17">
        <v>1</v>
      </c>
      <c r="D144" s="22">
        <v>32.99</v>
      </c>
      <c r="E144" s="22">
        <v>32.99</v>
      </c>
      <c r="F144" s="17">
        <v>100026882</v>
      </c>
      <c r="G144" s="16" t="s">
        <v>127</v>
      </c>
      <c r="H144" s="21"/>
      <c r="I144" s="16" t="s">
        <v>11</v>
      </c>
      <c r="J144" s="16" t="s">
        <v>427</v>
      </c>
      <c r="K144" s="16" t="s">
        <v>436</v>
      </c>
      <c r="L144" s="16" t="s">
        <v>111</v>
      </c>
      <c r="M144" s="16" t="s">
        <v>4639</v>
      </c>
      <c r="N144" s="23" t="str">
        <f>HYPERLINK("http://slimages.macys.com/is/image/MCY/10390404 ")</f>
        <v xml:space="preserve">http://slimages.macys.com/is/image/MCY/10390404 </v>
      </c>
    </row>
    <row r="145" spans="1:14" x14ac:dyDescent="0.25">
      <c r="A145" s="21" t="s">
        <v>2782</v>
      </c>
      <c r="B145" s="16" t="s">
        <v>2783</v>
      </c>
      <c r="C145" s="17">
        <v>1</v>
      </c>
      <c r="D145" s="22">
        <v>12</v>
      </c>
      <c r="E145" s="22">
        <v>12</v>
      </c>
      <c r="F145" s="17">
        <v>100122814</v>
      </c>
      <c r="G145" s="16" t="s">
        <v>205</v>
      </c>
      <c r="H145" s="21" t="s">
        <v>40</v>
      </c>
      <c r="I145" s="16" t="s">
        <v>11</v>
      </c>
      <c r="J145" s="16" t="s">
        <v>427</v>
      </c>
      <c r="K145" s="16" t="s">
        <v>428</v>
      </c>
      <c r="L145" s="16"/>
      <c r="M145" s="16"/>
      <c r="N145" s="23" t="str">
        <f>HYPERLINK("http://slimages.macys.com/is/image/MCY/20549926 ")</f>
        <v xml:space="preserve">http://slimages.macys.com/is/image/MCY/20549926 </v>
      </c>
    </row>
    <row r="146" spans="1:14" x14ac:dyDescent="0.25">
      <c r="A146" s="21" t="s">
        <v>1779</v>
      </c>
      <c r="B146" s="16" t="s">
        <v>1780</v>
      </c>
      <c r="C146" s="17">
        <v>1</v>
      </c>
      <c r="D146" s="22">
        <v>19.989999999999998</v>
      </c>
      <c r="E146" s="22">
        <v>19.989999999999998</v>
      </c>
      <c r="F146" s="17">
        <v>100137976</v>
      </c>
      <c r="G146" s="16" t="s">
        <v>37</v>
      </c>
      <c r="H146" s="21" t="s">
        <v>27</v>
      </c>
      <c r="I146" s="16" t="s">
        <v>11</v>
      </c>
      <c r="J146" s="16" t="s">
        <v>427</v>
      </c>
      <c r="K146" s="16" t="s">
        <v>428</v>
      </c>
      <c r="L146" s="16"/>
      <c r="M146" s="16"/>
      <c r="N146" s="23" t="str">
        <f>HYPERLINK("http://slimages.macys.com/is/image/MCY/19877243 ")</f>
        <v xml:space="preserve">http://slimages.macys.com/is/image/MCY/19877243 </v>
      </c>
    </row>
    <row r="147" spans="1:14" x14ac:dyDescent="0.25">
      <c r="A147" s="21" t="s">
        <v>3247</v>
      </c>
      <c r="B147" s="16" t="s">
        <v>3248</v>
      </c>
      <c r="C147" s="17">
        <v>1</v>
      </c>
      <c r="D147" s="22">
        <v>19.989999999999998</v>
      </c>
      <c r="E147" s="22">
        <v>19.989999999999998</v>
      </c>
      <c r="F147" s="17">
        <v>100117215</v>
      </c>
      <c r="G147" s="16" t="s">
        <v>202</v>
      </c>
      <c r="H147" s="21" t="s">
        <v>87</v>
      </c>
      <c r="I147" s="16" t="s">
        <v>11</v>
      </c>
      <c r="J147" s="16" t="s">
        <v>427</v>
      </c>
      <c r="K147" s="16" t="s">
        <v>428</v>
      </c>
      <c r="L147" s="16"/>
      <c r="M147" s="16"/>
      <c r="N147" s="23" t="str">
        <f>HYPERLINK("http://slimages.macys.com/is/image/MCY/1059719 ")</f>
        <v xml:space="preserve">http://slimages.macys.com/is/image/MCY/1059719 </v>
      </c>
    </row>
    <row r="148" spans="1:14" x14ac:dyDescent="0.25">
      <c r="A148" s="21" t="s">
        <v>1708</v>
      </c>
      <c r="B148" s="16" t="s">
        <v>1776</v>
      </c>
      <c r="C148" s="17">
        <v>1</v>
      </c>
      <c r="D148" s="22">
        <v>19.989999999999998</v>
      </c>
      <c r="E148" s="22">
        <v>19.989999999999998</v>
      </c>
      <c r="F148" s="17">
        <v>100117215</v>
      </c>
      <c r="G148" s="16" t="s">
        <v>205</v>
      </c>
      <c r="H148" s="21" t="s">
        <v>27</v>
      </c>
      <c r="I148" s="16" t="s">
        <v>11</v>
      </c>
      <c r="J148" s="16" t="s">
        <v>427</v>
      </c>
      <c r="K148" s="16" t="s">
        <v>428</v>
      </c>
      <c r="L148" s="16"/>
      <c r="M148" s="16"/>
      <c r="N148" s="23" t="str">
        <f>HYPERLINK("http://slimages.macys.com/is/image/MCY/1059719 ")</f>
        <v xml:space="preserve">http://slimages.macys.com/is/image/MCY/1059719 </v>
      </c>
    </row>
    <row r="149" spans="1:14" x14ac:dyDescent="0.25">
      <c r="A149" s="21" t="s">
        <v>1818</v>
      </c>
      <c r="B149" s="16" t="s">
        <v>1819</v>
      </c>
      <c r="C149" s="17">
        <v>1</v>
      </c>
      <c r="D149" s="22">
        <v>19.989999999999998</v>
      </c>
      <c r="E149" s="22">
        <v>19.989999999999998</v>
      </c>
      <c r="F149" s="17">
        <v>100117215</v>
      </c>
      <c r="G149" s="16" t="s">
        <v>57</v>
      </c>
      <c r="H149" s="21" t="s">
        <v>40</v>
      </c>
      <c r="I149" s="16" t="s">
        <v>11</v>
      </c>
      <c r="J149" s="16" t="s">
        <v>427</v>
      </c>
      <c r="K149" s="16" t="s">
        <v>428</v>
      </c>
      <c r="L149" s="16"/>
      <c r="M149" s="16"/>
      <c r="N149" s="23" t="str">
        <f>HYPERLINK("http://slimages.macys.com/is/image/MCY/1059719 ")</f>
        <v xml:space="preserve">http://slimages.macys.com/is/image/MCY/1059719 </v>
      </c>
    </row>
    <row r="150" spans="1:14" x14ac:dyDescent="0.25">
      <c r="A150" s="21" t="s">
        <v>4204</v>
      </c>
      <c r="B150" s="16" t="s">
        <v>4205</v>
      </c>
      <c r="C150" s="17">
        <v>1</v>
      </c>
      <c r="D150" s="22">
        <v>19.989999999999998</v>
      </c>
      <c r="E150" s="22">
        <v>19.989999999999998</v>
      </c>
      <c r="F150" s="17">
        <v>100117215</v>
      </c>
      <c r="G150" s="16" t="s">
        <v>57</v>
      </c>
      <c r="H150" s="21" t="s">
        <v>55</v>
      </c>
      <c r="I150" s="16" t="s">
        <v>11</v>
      </c>
      <c r="J150" s="16" t="s">
        <v>427</v>
      </c>
      <c r="K150" s="16" t="s">
        <v>428</v>
      </c>
      <c r="L150" s="16"/>
      <c r="M150" s="16"/>
      <c r="N150" s="23" t="str">
        <f>HYPERLINK("http://slimages.macys.com/is/image/MCY/1059719 ")</f>
        <v xml:space="preserve">http://slimages.macys.com/is/image/MCY/1059719 </v>
      </c>
    </row>
    <row r="151" spans="1:14" x14ac:dyDescent="0.25">
      <c r="A151" s="21" t="s">
        <v>4640</v>
      </c>
      <c r="B151" s="16" t="s">
        <v>4641</v>
      </c>
      <c r="C151" s="17">
        <v>1</v>
      </c>
      <c r="D151" s="22">
        <v>19.989999999999998</v>
      </c>
      <c r="E151" s="22">
        <v>19.989999999999998</v>
      </c>
      <c r="F151" s="17">
        <v>100117215</v>
      </c>
      <c r="G151" s="16" t="s">
        <v>57</v>
      </c>
      <c r="H151" s="21" t="s">
        <v>87</v>
      </c>
      <c r="I151" s="16" t="s">
        <v>11</v>
      </c>
      <c r="J151" s="16" t="s">
        <v>427</v>
      </c>
      <c r="K151" s="16" t="s">
        <v>428</v>
      </c>
      <c r="L151" s="16"/>
      <c r="M151" s="16"/>
      <c r="N151" s="23" t="str">
        <f>HYPERLINK("http://slimages.macys.com/is/image/MCY/1059719 ")</f>
        <v xml:space="preserve">http://slimages.macys.com/is/image/MCY/1059719 </v>
      </c>
    </row>
    <row r="152" spans="1:14" x14ac:dyDescent="0.25">
      <c r="A152" s="21" t="s">
        <v>4610</v>
      </c>
      <c r="B152" s="16" t="s">
        <v>4611</v>
      </c>
      <c r="C152" s="17">
        <v>1</v>
      </c>
      <c r="D152" s="22">
        <v>52</v>
      </c>
      <c r="E152" s="22">
        <v>52</v>
      </c>
      <c r="F152" s="17" t="s">
        <v>4612</v>
      </c>
      <c r="G152" s="16" t="s">
        <v>122</v>
      </c>
      <c r="H152" s="21" t="s">
        <v>32</v>
      </c>
      <c r="I152" s="16" t="s">
        <v>11</v>
      </c>
      <c r="J152" s="16" t="s">
        <v>343</v>
      </c>
      <c r="K152" s="16" t="s">
        <v>358</v>
      </c>
      <c r="L152" s="16"/>
      <c r="M152" s="16"/>
      <c r="N152" s="23" t="str">
        <f>HYPERLINK("http://slimages.macys.com/is/image/MCY/17786088 ")</f>
        <v xml:space="preserve">http://slimages.macys.com/is/image/MCY/17786088 </v>
      </c>
    </row>
    <row r="153" spans="1:14" x14ac:dyDescent="0.25">
      <c r="A153" s="21" t="s">
        <v>1766</v>
      </c>
      <c r="B153" s="16" t="s">
        <v>1767</v>
      </c>
      <c r="C153" s="17">
        <v>1</v>
      </c>
      <c r="D153" s="22">
        <v>38</v>
      </c>
      <c r="E153" s="22">
        <v>38</v>
      </c>
      <c r="F153" s="17" t="s">
        <v>1768</v>
      </c>
      <c r="G153" s="16" t="s">
        <v>62</v>
      </c>
      <c r="H153" s="21" t="s">
        <v>184</v>
      </c>
      <c r="I153" s="16" t="s">
        <v>11</v>
      </c>
      <c r="J153" s="16" t="s">
        <v>343</v>
      </c>
      <c r="K153" s="16" t="s">
        <v>358</v>
      </c>
      <c r="L153" s="16"/>
      <c r="M153" s="16"/>
      <c r="N153" s="23" t="str">
        <f>HYPERLINK("http://slimages.macys.com/is/image/MCY/18107760 ")</f>
        <v xml:space="preserve">http://slimages.macys.com/is/image/MCY/18107760 </v>
      </c>
    </row>
    <row r="154" spans="1:14" x14ac:dyDescent="0.25">
      <c r="A154" s="21" t="s">
        <v>3977</v>
      </c>
      <c r="B154" s="16" t="s">
        <v>3978</v>
      </c>
      <c r="C154" s="17">
        <v>3</v>
      </c>
      <c r="D154" s="22">
        <v>34</v>
      </c>
      <c r="E154" s="22">
        <v>102</v>
      </c>
      <c r="F154" s="17" t="s">
        <v>1035</v>
      </c>
      <c r="G154" s="16" t="s">
        <v>82</v>
      </c>
      <c r="H154" s="21" t="s">
        <v>27</v>
      </c>
      <c r="I154" s="16" t="s">
        <v>11</v>
      </c>
      <c r="J154" s="16" t="s">
        <v>343</v>
      </c>
      <c r="K154" s="16" t="s">
        <v>366</v>
      </c>
      <c r="L154" s="16"/>
      <c r="M154" s="16"/>
      <c r="N154" s="23" t="str">
        <f>HYPERLINK("http://slimages.macys.com/is/image/MCY/19734527 ")</f>
        <v xml:space="preserve">http://slimages.macys.com/is/image/MCY/19734527 </v>
      </c>
    </row>
    <row r="155" spans="1:14" x14ac:dyDescent="0.25">
      <c r="A155" s="21" t="s">
        <v>1033</v>
      </c>
      <c r="B155" s="16" t="s">
        <v>1034</v>
      </c>
      <c r="C155" s="17">
        <v>1</v>
      </c>
      <c r="D155" s="22">
        <v>34</v>
      </c>
      <c r="E155" s="22">
        <v>34</v>
      </c>
      <c r="F155" s="17" t="s">
        <v>1035</v>
      </c>
      <c r="G155" s="16" t="s">
        <v>205</v>
      </c>
      <c r="H155" s="21" t="s">
        <v>27</v>
      </c>
      <c r="I155" s="16" t="s">
        <v>11</v>
      </c>
      <c r="J155" s="16" t="s">
        <v>343</v>
      </c>
      <c r="K155" s="16" t="s">
        <v>366</v>
      </c>
      <c r="L155" s="16"/>
      <c r="M155" s="16"/>
      <c r="N155" s="23" t="str">
        <f>HYPERLINK("http://slimages.macys.com/is/image/MCY/19673056 ")</f>
        <v xml:space="preserve">http://slimages.macys.com/is/image/MCY/19673056 </v>
      </c>
    </row>
    <row r="156" spans="1:14" x14ac:dyDescent="0.25">
      <c r="A156" s="21" t="s">
        <v>4600</v>
      </c>
      <c r="B156" s="16" t="s">
        <v>4601</v>
      </c>
      <c r="C156" s="17">
        <v>1</v>
      </c>
      <c r="D156" s="22">
        <v>34</v>
      </c>
      <c r="E156" s="22">
        <v>34</v>
      </c>
      <c r="F156" s="17" t="s">
        <v>1035</v>
      </c>
      <c r="G156" s="16"/>
      <c r="H156" s="21" t="s">
        <v>27</v>
      </c>
      <c r="I156" s="16" t="s">
        <v>11</v>
      </c>
      <c r="J156" s="16" t="s">
        <v>343</v>
      </c>
      <c r="K156" s="16" t="s">
        <v>366</v>
      </c>
      <c r="L156" s="16"/>
      <c r="M156" s="16"/>
      <c r="N156" s="23" t="str">
        <f>HYPERLINK("http://slimages.macys.com/is/image/MCY/19734527 ")</f>
        <v xml:space="preserve">http://slimages.macys.com/is/image/MCY/19734527 </v>
      </c>
    </row>
    <row r="157" spans="1:14" x14ac:dyDescent="0.25">
      <c r="A157" s="21" t="s">
        <v>4602</v>
      </c>
      <c r="B157" s="16" t="s">
        <v>4603</v>
      </c>
      <c r="C157" s="17">
        <v>1</v>
      </c>
      <c r="D157" s="22">
        <v>34</v>
      </c>
      <c r="E157" s="22">
        <v>34</v>
      </c>
      <c r="F157" s="17" t="s">
        <v>1252</v>
      </c>
      <c r="G157" s="16" t="s">
        <v>349</v>
      </c>
      <c r="H157" s="21" t="s">
        <v>27</v>
      </c>
      <c r="I157" s="16" t="s">
        <v>11</v>
      </c>
      <c r="J157" s="16" t="s">
        <v>343</v>
      </c>
      <c r="K157" s="16" t="s">
        <v>366</v>
      </c>
      <c r="L157" s="16"/>
      <c r="M157" s="16"/>
      <c r="N157" s="23" t="str">
        <f>HYPERLINK("http://slimages.macys.com/is/image/MCY/19811313 ")</f>
        <v xml:space="preserve">http://slimages.macys.com/is/image/MCY/19811313 </v>
      </c>
    </row>
    <row r="158" spans="1:14" x14ac:dyDescent="0.25">
      <c r="A158" s="21" t="s">
        <v>3822</v>
      </c>
      <c r="B158" s="16" t="s">
        <v>3823</v>
      </c>
      <c r="C158" s="17">
        <v>1</v>
      </c>
      <c r="D158" s="22">
        <v>34</v>
      </c>
      <c r="E158" s="22">
        <v>34</v>
      </c>
      <c r="F158" s="17" t="s">
        <v>3405</v>
      </c>
      <c r="G158" s="16" t="s">
        <v>37</v>
      </c>
      <c r="H158" s="21" t="s">
        <v>27</v>
      </c>
      <c r="I158" s="16" t="s">
        <v>11</v>
      </c>
      <c r="J158" s="16" t="s">
        <v>343</v>
      </c>
      <c r="K158" s="16" t="s">
        <v>366</v>
      </c>
      <c r="L158" s="16"/>
      <c r="M158" s="16"/>
      <c r="N158" s="23" t="str">
        <f>HYPERLINK("http://slimages.macys.com/is/image/MCY/20072276 ")</f>
        <v xml:space="preserve">http://slimages.macys.com/is/image/MCY/20072276 </v>
      </c>
    </row>
    <row r="159" spans="1:14" x14ac:dyDescent="0.25">
      <c r="A159" s="21" t="s">
        <v>3818</v>
      </c>
      <c r="B159" s="16" t="s">
        <v>3819</v>
      </c>
      <c r="C159" s="17">
        <v>1</v>
      </c>
      <c r="D159" s="22">
        <v>34</v>
      </c>
      <c r="E159" s="22">
        <v>34</v>
      </c>
      <c r="F159" s="17" t="s">
        <v>3405</v>
      </c>
      <c r="G159" s="16" t="s">
        <v>963</v>
      </c>
      <c r="H159" s="21" t="s">
        <v>27</v>
      </c>
      <c r="I159" s="16" t="s">
        <v>11</v>
      </c>
      <c r="J159" s="16" t="s">
        <v>343</v>
      </c>
      <c r="K159" s="16" t="s">
        <v>366</v>
      </c>
      <c r="L159" s="16"/>
      <c r="M159" s="16"/>
      <c r="N159" s="23" t="str">
        <f>HYPERLINK("http://slimages.macys.com/is/image/MCY/20072276 ")</f>
        <v xml:space="preserve">http://slimages.macys.com/is/image/MCY/20072276 </v>
      </c>
    </row>
    <row r="160" spans="1:14" x14ac:dyDescent="0.25">
      <c r="A160" s="21" t="s">
        <v>3824</v>
      </c>
      <c r="B160" s="16" t="s">
        <v>3825</v>
      </c>
      <c r="C160" s="17">
        <v>2</v>
      </c>
      <c r="D160" s="22">
        <v>34</v>
      </c>
      <c r="E160" s="22">
        <v>68</v>
      </c>
      <c r="F160" s="17" t="s">
        <v>3817</v>
      </c>
      <c r="G160" s="16" t="s">
        <v>62</v>
      </c>
      <c r="H160" s="21" t="s">
        <v>27</v>
      </c>
      <c r="I160" s="16" t="s">
        <v>11</v>
      </c>
      <c r="J160" s="16" t="s">
        <v>343</v>
      </c>
      <c r="K160" s="16" t="s">
        <v>366</v>
      </c>
      <c r="L160" s="16"/>
      <c r="M160" s="16"/>
      <c r="N160" s="23" t="str">
        <f>HYPERLINK("http://slimages.macys.com/is/image/MCY/20072252 ")</f>
        <v xml:space="preserve">http://slimages.macys.com/is/image/MCY/20072252 </v>
      </c>
    </row>
    <row r="161" spans="1:14" x14ac:dyDescent="0.25">
      <c r="A161" s="21" t="s">
        <v>4626</v>
      </c>
      <c r="B161" s="16" t="s">
        <v>4627</v>
      </c>
      <c r="C161" s="17">
        <v>1</v>
      </c>
      <c r="D161" s="22">
        <v>25</v>
      </c>
      <c r="E161" s="22">
        <v>25</v>
      </c>
      <c r="F161" s="17" t="s">
        <v>773</v>
      </c>
      <c r="G161" s="16" t="s">
        <v>163</v>
      </c>
      <c r="H161" s="21" t="s">
        <v>40</v>
      </c>
      <c r="I161" s="16" t="s">
        <v>11</v>
      </c>
      <c r="J161" s="16" t="s">
        <v>343</v>
      </c>
      <c r="K161" s="16" t="s">
        <v>379</v>
      </c>
      <c r="L161" s="16"/>
      <c r="M161" s="16"/>
      <c r="N161" s="23" t="str">
        <f>HYPERLINK("http://slimages.macys.com/is/image/MCY/20185665 ")</f>
        <v xml:space="preserve">http://slimages.macys.com/is/image/MCY/20185665 </v>
      </c>
    </row>
    <row r="162" spans="1:14" x14ac:dyDescent="0.25">
      <c r="A162" s="21" t="s">
        <v>4624</v>
      </c>
      <c r="B162" s="16" t="s">
        <v>4625</v>
      </c>
      <c r="C162" s="17">
        <v>1</v>
      </c>
      <c r="D162" s="22">
        <v>25</v>
      </c>
      <c r="E162" s="22">
        <v>25</v>
      </c>
      <c r="F162" s="17" t="s">
        <v>773</v>
      </c>
      <c r="G162" s="16" t="s">
        <v>44</v>
      </c>
      <c r="H162" s="21" t="s">
        <v>27</v>
      </c>
      <c r="I162" s="16" t="s">
        <v>11</v>
      </c>
      <c r="J162" s="16" t="s">
        <v>343</v>
      </c>
      <c r="K162" s="16" t="s">
        <v>379</v>
      </c>
      <c r="L162" s="16"/>
      <c r="M162" s="16"/>
      <c r="N162" s="23" t="str">
        <f>HYPERLINK("http://slimages.macys.com/is/image/MCY/20185665 ")</f>
        <v xml:space="preserve">http://slimages.macys.com/is/image/MCY/20185665 </v>
      </c>
    </row>
    <row r="163" spans="1:14" x14ac:dyDescent="0.25">
      <c r="A163" s="21" t="s">
        <v>4548</v>
      </c>
      <c r="B163" s="16" t="s">
        <v>4549</v>
      </c>
      <c r="C163" s="17">
        <v>1</v>
      </c>
      <c r="D163" s="22">
        <v>49.99</v>
      </c>
      <c r="E163" s="22">
        <v>49.99</v>
      </c>
      <c r="F163" s="17" t="s">
        <v>4550</v>
      </c>
      <c r="G163" s="16" t="s">
        <v>174</v>
      </c>
      <c r="H163" s="21" t="s">
        <v>47</v>
      </c>
      <c r="I163" s="16" t="s">
        <v>11</v>
      </c>
      <c r="J163" s="16" t="s">
        <v>266</v>
      </c>
      <c r="K163" s="16" t="s">
        <v>267</v>
      </c>
      <c r="L163" s="16"/>
      <c r="M163" s="16"/>
      <c r="N163" s="23" t="str">
        <f>HYPERLINK("http://slimages.macys.com/is/image/MCY/19385927 ")</f>
        <v xml:space="preserve">http://slimages.macys.com/is/image/MCY/19385927 </v>
      </c>
    </row>
    <row r="164" spans="1:14" x14ac:dyDescent="0.25">
      <c r="A164" s="21" t="s">
        <v>4578</v>
      </c>
      <c r="B164" s="16" t="s">
        <v>4579</v>
      </c>
      <c r="C164" s="17">
        <v>1</v>
      </c>
      <c r="D164" s="22">
        <v>22.99</v>
      </c>
      <c r="E164" s="22">
        <v>22.99</v>
      </c>
      <c r="F164" s="17">
        <v>100046947</v>
      </c>
      <c r="G164" s="16" t="s">
        <v>62</v>
      </c>
      <c r="H164" s="21" t="s">
        <v>55</v>
      </c>
      <c r="I164" s="16" t="s">
        <v>11</v>
      </c>
      <c r="J164" s="16" t="s">
        <v>266</v>
      </c>
      <c r="K164" s="16" t="s">
        <v>333</v>
      </c>
      <c r="L164" s="16" t="s">
        <v>111</v>
      </c>
      <c r="M164" s="16" t="s">
        <v>303</v>
      </c>
      <c r="N164" s="23" t="str">
        <f>HYPERLINK("http://slimages.macys.com/is/image/MCY/11456417 ")</f>
        <v xml:space="preserve">http://slimages.macys.com/is/image/MCY/11456417 </v>
      </c>
    </row>
    <row r="165" spans="1:14" x14ac:dyDescent="0.25">
      <c r="A165" s="21" t="s">
        <v>1242</v>
      </c>
      <c r="B165" s="16" t="s">
        <v>1243</v>
      </c>
      <c r="C165" s="17">
        <v>1</v>
      </c>
      <c r="D165" s="22">
        <v>14.99</v>
      </c>
      <c r="E165" s="22">
        <v>14.99</v>
      </c>
      <c r="F165" s="17" t="s">
        <v>758</v>
      </c>
      <c r="G165" s="16" t="s">
        <v>86</v>
      </c>
      <c r="H165" s="21" t="s">
        <v>32</v>
      </c>
      <c r="I165" s="16" t="s">
        <v>11</v>
      </c>
      <c r="J165" s="16" t="s">
        <v>266</v>
      </c>
      <c r="K165" s="16" t="s">
        <v>267</v>
      </c>
      <c r="L165" s="16"/>
      <c r="M165" s="16"/>
      <c r="N165" s="23" t="str">
        <f>HYPERLINK("http://slimages.macys.com/is/image/MCY/19287189 ")</f>
        <v xml:space="preserve">http://slimages.macys.com/is/image/MCY/19287189 </v>
      </c>
    </row>
    <row r="166" spans="1:14" x14ac:dyDescent="0.25">
      <c r="A166" s="21" t="s">
        <v>3158</v>
      </c>
      <c r="B166" s="16" t="s">
        <v>3159</v>
      </c>
      <c r="C166" s="17">
        <v>1</v>
      </c>
      <c r="D166" s="22">
        <v>27.99</v>
      </c>
      <c r="E166" s="22">
        <v>27.99</v>
      </c>
      <c r="F166" s="17" t="s">
        <v>2910</v>
      </c>
      <c r="G166" s="16" t="s">
        <v>270</v>
      </c>
      <c r="H166" s="21" t="s">
        <v>40</v>
      </c>
      <c r="I166" s="16" t="s">
        <v>11</v>
      </c>
      <c r="J166" s="16" t="s">
        <v>266</v>
      </c>
      <c r="K166" s="16" t="s">
        <v>267</v>
      </c>
      <c r="L166" s="16"/>
      <c r="M166" s="16"/>
      <c r="N166" s="23" t="str">
        <f>HYPERLINK("http://slimages.macys.com/is/image/MCY/18992310 ")</f>
        <v xml:space="preserve">http://slimages.macys.com/is/image/MCY/18992310 </v>
      </c>
    </row>
    <row r="167" spans="1:14" x14ac:dyDescent="0.25">
      <c r="A167" s="21" t="s">
        <v>3156</v>
      </c>
      <c r="B167" s="16" t="s">
        <v>3157</v>
      </c>
      <c r="C167" s="17">
        <v>1</v>
      </c>
      <c r="D167" s="22">
        <v>27.99</v>
      </c>
      <c r="E167" s="22">
        <v>27.99</v>
      </c>
      <c r="F167" s="17" t="s">
        <v>2910</v>
      </c>
      <c r="G167" s="16" t="s">
        <v>270</v>
      </c>
      <c r="H167" s="21" t="s">
        <v>55</v>
      </c>
      <c r="I167" s="16" t="s">
        <v>11</v>
      </c>
      <c r="J167" s="16" t="s">
        <v>266</v>
      </c>
      <c r="K167" s="16" t="s">
        <v>267</v>
      </c>
      <c r="L167" s="16"/>
      <c r="M167" s="16"/>
      <c r="N167" s="23" t="str">
        <f>HYPERLINK("http://slimages.macys.com/is/image/MCY/18992310 ")</f>
        <v xml:space="preserve">http://slimages.macys.com/is/image/MCY/18992310 </v>
      </c>
    </row>
    <row r="168" spans="1:14" x14ac:dyDescent="0.25">
      <c r="A168" s="21" t="s">
        <v>4660</v>
      </c>
      <c r="B168" s="16" t="s">
        <v>4661</v>
      </c>
      <c r="C168" s="17">
        <v>1</v>
      </c>
      <c r="D168" s="22">
        <v>5.6</v>
      </c>
      <c r="E168" s="22">
        <v>5.6</v>
      </c>
      <c r="F168" s="17">
        <v>100090288</v>
      </c>
      <c r="G168" s="16" t="s">
        <v>174</v>
      </c>
      <c r="H168" s="21"/>
      <c r="I168" s="16" t="s">
        <v>11</v>
      </c>
      <c r="J168" s="16" t="s">
        <v>457</v>
      </c>
      <c r="K168" s="16" t="s">
        <v>459</v>
      </c>
      <c r="L168" s="16"/>
      <c r="M168" s="16"/>
      <c r="N168" s="23"/>
    </row>
    <row r="169" spans="1:14" x14ac:dyDescent="0.25">
      <c r="A169" s="21" t="s">
        <v>493</v>
      </c>
      <c r="B169" s="16" t="s">
        <v>494</v>
      </c>
      <c r="C169" s="17">
        <v>1</v>
      </c>
      <c r="D169" s="22">
        <v>5.6</v>
      </c>
      <c r="E169" s="22">
        <v>5.6</v>
      </c>
      <c r="F169" s="17">
        <v>100132108</v>
      </c>
      <c r="G169" s="16" t="s">
        <v>31</v>
      </c>
      <c r="H169" s="21" t="s">
        <v>87</v>
      </c>
      <c r="I169" s="16" t="s">
        <v>11</v>
      </c>
      <c r="J169" s="16" t="s">
        <v>457</v>
      </c>
      <c r="K169" s="16" t="s">
        <v>459</v>
      </c>
      <c r="L169" s="16"/>
      <c r="M169" s="16"/>
      <c r="N169" s="23" t="str">
        <f>HYPERLINK("http://slimages.macys.com/is/image/MCY/19787468 ")</f>
        <v xml:space="preserve">http://slimages.macys.com/is/image/MCY/19787468 </v>
      </c>
    </row>
    <row r="170" spans="1:14" x14ac:dyDescent="0.25">
      <c r="A170" s="21" t="s">
        <v>3379</v>
      </c>
      <c r="B170" s="16" t="s">
        <v>3380</v>
      </c>
      <c r="C170" s="17">
        <v>1</v>
      </c>
      <c r="D170" s="22">
        <v>24.99</v>
      </c>
      <c r="E170" s="22">
        <v>24.99</v>
      </c>
      <c r="F170" s="17" t="s">
        <v>3372</v>
      </c>
      <c r="G170" s="16" t="s">
        <v>86</v>
      </c>
      <c r="H170" s="21" t="s">
        <v>149</v>
      </c>
      <c r="I170" s="16" t="s">
        <v>11</v>
      </c>
      <c r="J170" s="16" t="s">
        <v>266</v>
      </c>
      <c r="K170" s="16" t="s">
        <v>267</v>
      </c>
      <c r="L170" s="16"/>
      <c r="M170" s="16"/>
      <c r="N170" s="23" t="str">
        <f>HYPERLINK("http://slimages.macys.com/is/image/MCY/20226363 ")</f>
        <v xml:space="preserve">http://slimages.macys.com/is/image/MCY/20226363 </v>
      </c>
    </row>
    <row r="171" spans="1:14" x14ac:dyDescent="0.25">
      <c r="A171" s="21" t="s">
        <v>3617</v>
      </c>
      <c r="B171" s="16" t="s">
        <v>3618</v>
      </c>
      <c r="C171" s="17">
        <v>6</v>
      </c>
      <c r="D171" s="22">
        <v>24.99</v>
      </c>
      <c r="E171" s="22">
        <v>149.94</v>
      </c>
      <c r="F171" s="17" t="s">
        <v>3372</v>
      </c>
      <c r="G171" s="16" t="s">
        <v>78</v>
      </c>
      <c r="H171" s="21" t="s">
        <v>149</v>
      </c>
      <c r="I171" s="16" t="s">
        <v>11</v>
      </c>
      <c r="J171" s="16" t="s">
        <v>266</v>
      </c>
      <c r="K171" s="16" t="s">
        <v>267</v>
      </c>
      <c r="L171" s="16"/>
      <c r="M171" s="16"/>
      <c r="N171" s="23" t="str">
        <f>HYPERLINK("http://slimages.macys.com/is/image/MCY/20226363 ")</f>
        <v xml:space="preserve">http://slimages.macys.com/is/image/MCY/20226363 </v>
      </c>
    </row>
    <row r="172" spans="1:14" x14ac:dyDescent="0.25">
      <c r="A172" s="21" t="s">
        <v>3377</v>
      </c>
      <c r="B172" s="16" t="s">
        <v>3378</v>
      </c>
      <c r="C172" s="17">
        <v>8</v>
      </c>
      <c r="D172" s="22">
        <v>24.99</v>
      </c>
      <c r="E172" s="22">
        <v>199.92</v>
      </c>
      <c r="F172" s="17" t="s">
        <v>3372</v>
      </c>
      <c r="G172" s="16" t="s">
        <v>78</v>
      </c>
      <c r="H172" s="21" t="s">
        <v>286</v>
      </c>
      <c r="I172" s="16" t="s">
        <v>11</v>
      </c>
      <c r="J172" s="16" t="s">
        <v>266</v>
      </c>
      <c r="K172" s="16" t="s">
        <v>267</v>
      </c>
      <c r="L172" s="16"/>
      <c r="M172" s="16"/>
      <c r="N172" s="23" t="str">
        <f>HYPERLINK("http://slimages.macys.com/is/image/MCY/20226709 ")</f>
        <v xml:space="preserve">http://slimages.macys.com/is/image/MCY/20226709 </v>
      </c>
    </row>
    <row r="173" spans="1:14" x14ac:dyDescent="0.25">
      <c r="A173" s="21" t="s">
        <v>3375</v>
      </c>
      <c r="B173" s="16" t="s">
        <v>3376</v>
      </c>
      <c r="C173" s="17">
        <v>3</v>
      </c>
      <c r="D173" s="22">
        <v>24.99</v>
      </c>
      <c r="E173" s="22">
        <v>74.97</v>
      </c>
      <c r="F173" s="17" t="s">
        <v>3372</v>
      </c>
      <c r="G173" s="16" t="s">
        <v>78</v>
      </c>
      <c r="H173" s="21" t="s">
        <v>158</v>
      </c>
      <c r="I173" s="16" t="s">
        <v>11</v>
      </c>
      <c r="J173" s="16" t="s">
        <v>266</v>
      </c>
      <c r="K173" s="16" t="s">
        <v>267</v>
      </c>
      <c r="L173" s="16"/>
      <c r="M173" s="16"/>
      <c r="N173" s="23" t="str">
        <f>HYPERLINK("http://slimages.macys.com/is/image/MCY/20226363 ")</f>
        <v xml:space="preserve">http://slimages.macys.com/is/image/MCY/20226363 </v>
      </c>
    </row>
    <row r="174" spans="1:14" x14ac:dyDescent="0.25">
      <c r="A174" s="21" t="s">
        <v>4557</v>
      </c>
      <c r="B174" s="16" t="s">
        <v>4558</v>
      </c>
      <c r="C174" s="17">
        <v>1</v>
      </c>
      <c r="D174" s="22">
        <v>37.99</v>
      </c>
      <c r="E174" s="22">
        <v>37.99</v>
      </c>
      <c r="F174" s="17" t="s">
        <v>1000</v>
      </c>
      <c r="G174" s="16" t="s">
        <v>104</v>
      </c>
      <c r="H174" s="21" t="s">
        <v>27</v>
      </c>
      <c r="I174" s="16" t="s">
        <v>11</v>
      </c>
      <c r="J174" s="16" t="s">
        <v>266</v>
      </c>
      <c r="K174" s="16" t="s">
        <v>267</v>
      </c>
      <c r="L174" s="16"/>
      <c r="M174" s="16"/>
      <c r="N174" s="23" t="str">
        <f>HYPERLINK("http://slimages.macys.com/is/image/MCY/855989 ")</f>
        <v xml:space="preserve">http://slimages.macys.com/is/image/MCY/855989 </v>
      </c>
    </row>
    <row r="175" spans="1:14" x14ac:dyDescent="0.25">
      <c r="A175" s="21" t="s">
        <v>291</v>
      </c>
      <c r="B175" s="16" t="s">
        <v>292</v>
      </c>
      <c r="C175" s="17">
        <v>2</v>
      </c>
      <c r="D175" s="22">
        <v>27.99</v>
      </c>
      <c r="E175" s="22">
        <v>55.98</v>
      </c>
      <c r="F175" s="17" t="s">
        <v>293</v>
      </c>
      <c r="G175" s="16" t="s">
        <v>86</v>
      </c>
      <c r="H175" s="21" t="s">
        <v>32</v>
      </c>
      <c r="I175" s="16" t="s">
        <v>11</v>
      </c>
      <c r="J175" s="16" t="s">
        <v>266</v>
      </c>
      <c r="K175" s="16" t="s">
        <v>267</v>
      </c>
      <c r="L175" s="16"/>
      <c r="M175" s="16"/>
      <c r="N175" s="23" t="str">
        <f>HYPERLINK("http://slimages.macys.com/is/image/MCY/19287253 ")</f>
        <v xml:space="preserve">http://slimages.macys.com/is/image/MCY/19287253 </v>
      </c>
    </row>
    <row r="176" spans="1:14" x14ac:dyDescent="0.25">
      <c r="A176" s="21" t="s">
        <v>3122</v>
      </c>
      <c r="B176" s="16" t="s">
        <v>3123</v>
      </c>
      <c r="C176" s="17">
        <v>1</v>
      </c>
      <c r="D176" s="22">
        <v>49.99</v>
      </c>
      <c r="E176" s="22">
        <v>49.99</v>
      </c>
      <c r="F176" s="17" t="s">
        <v>3121</v>
      </c>
      <c r="G176" s="16" t="s">
        <v>86</v>
      </c>
      <c r="H176" s="21" t="s">
        <v>40</v>
      </c>
      <c r="I176" s="16" t="s">
        <v>11</v>
      </c>
      <c r="J176" s="16" t="s">
        <v>266</v>
      </c>
      <c r="K176" s="16" t="s">
        <v>267</v>
      </c>
      <c r="L176" s="16"/>
      <c r="M176" s="16"/>
      <c r="N176" s="23" t="str">
        <f>HYPERLINK("http://slimages.macys.com/is/image/MCY/20153670 ")</f>
        <v xml:space="preserve">http://slimages.macys.com/is/image/MCY/20153670 </v>
      </c>
    </row>
    <row r="177" spans="1:14" x14ac:dyDescent="0.25">
      <c r="A177" s="21" t="s">
        <v>4568</v>
      </c>
      <c r="B177" s="16" t="s">
        <v>4569</v>
      </c>
      <c r="C177" s="17">
        <v>1</v>
      </c>
      <c r="D177" s="22">
        <v>24.99</v>
      </c>
      <c r="E177" s="22">
        <v>24.99</v>
      </c>
      <c r="F177" s="17" t="s">
        <v>3797</v>
      </c>
      <c r="G177" s="16" t="s">
        <v>270</v>
      </c>
      <c r="H177" s="21" t="s">
        <v>32</v>
      </c>
      <c r="I177" s="16" t="s">
        <v>11</v>
      </c>
      <c r="J177" s="16" t="s">
        <v>266</v>
      </c>
      <c r="K177" s="16" t="s">
        <v>267</v>
      </c>
      <c r="L177" s="16"/>
      <c r="M177" s="16"/>
      <c r="N177" s="23" t="str">
        <f>HYPERLINK("http://slimages.macys.com/is/image/MCY/18992352 ")</f>
        <v xml:space="preserve">http://slimages.macys.com/is/image/MCY/18992352 </v>
      </c>
    </row>
    <row r="178" spans="1:14" x14ac:dyDescent="0.25">
      <c r="A178" s="21" t="s">
        <v>3801</v>
      </c>
      <c r="B178" s="16" t="s">
        <v>3802</v>
      </c>
      <c r="C178" s="17">
        <v>3</v>
      </c>
      <c r="D178" s="22">
        <v>24.99</v>
      </c>
      <c r="E178" s="22">
        <v>74.97</v>
      </c>
      <c r="F178" s="17" t="s">
        <v>3800</v>
      </c>
      <c r="G178" s="16" t="s">
        <v>174</v>
      </c>
      <c r="H178" s="21" t="s">
        <v>27</v>
      </c>
      <c r="I178" s="16" t="s">
        <v>11</v>
      </c>
      <c r="J178" s="16" t="s">
        <v>266</v>
      </c>
      <c r="K178" s="16" t="s">
        <v>267</v>
      </c>
      <c r="L178" s="16"/>
      <c r="M178" s="16"/>
      <c r="N178" s="23" t="str">
        <f>HYPERLINK("http://slimages.macys.com/is/image/MCY/18992352 ")</f>
        <v xml:space="preserve">http://slimages.macys.com/is/image/MCY/18992352 </v>
      </c>
    </row>
    <row r="179" spans="1:14" x14ac:dyDescent="0.25">
      <c r="A179" s="21" t="s">
        <v>4566</v>
      </c>
      <c r="B179" s="16" t="s">
        <v>4567</v>
      </c>
      <c r="C179" s="17">
        <v>2</v>
      </c>
      <c r="D179" s="22">
        <v>24.99</v>
      </c>
      <c r="E179" s="22">
        <v>49.98</v>
      </c>
      <c r="F179" s="17" t="s">
        <v>4309</v>
      </c>
      <c r="G179" s="16" t="s">
        <v>174</v>
      </c>
      <c r="H179" s="21" t="s">
        <v>32</v>
      </c>
      <c r="I179" s="16" t="s">
        <v>11</v>
      </c>
      <c r="J179" s="16" t="s">
        <v>266</v>
      </c>
      <c r="K179" s="16" t="s">
        <v>267</v>
      </c>
      <c r="L179" s="16"/>
      <c r="M179" s="16"/>
      <c r="N179" s="23" t="str">
        <f>HYPERLINK("http://slimages.macys.com/is/image/MCY/19360846 ")</f>
        <v xml:space="preserve">http://slimages.macys.com/is/image/MCY/19360846 </v>
      </c>
    </row>
    <row r="180" spans="1:14" x14ac:dyDescent="0.25">
      <c r="A180" s="21" t="s">
        <v>4564</v>
      </c>
      <c r="B180" s="16" t="s">
        <v>4565</v>
      </c>
      <c r="C180" s="17">
        <v>1</v>
      </c>
      <c r="D180" s="22">
        <v>29.99</v>
      </c>
      <c r="E180" s="22">
        <v>29.99</v>
      </c>
      <c r="F180" s="17" t="s">
        <v>1683</v>
      </c>
      <c r="G180" s="16" t="s">
        <v>62</v>
      </c>
      <c r="H180" s="21" t="s">
        <v>32</v>
      </c>
      <c r="I180" s="16" t="s">
        <v>11</v>
      </c>
      <c r="J180" s="16" t="s">
        <v>266</v>
      </c>
      <c r="K180" s="16" t="s">
        <v>267</v>
      </c>
      <c r="L180" s="16"/>
      <c r="M180" s="16"/>
      <c r="N180" s="23" t="str">
        <f>HYPERLINK("http://slimages.macys.com/is/image/MCY/19712936 ")</f>
        <v xml:space="preserve">http://slimages.macys.com/is/image/MCY/19712936 </v>
      </c>
    </row>
    <row r="181" spans="1:14" x14ac:dyDescent="0.25">
      <c r="A181" s="21" t="s">
        <v>1601</v>
      </c>
      <c r="B181" s="16" t="s">
        <v>1602</v>
      </c>
      <c r="C181" s="17">
        <v>1</v>
      </c>
      <c r="D181" s="22">
        <v>32.99</v>
      </c>
      <c r="E181" s="22">
        <v>32.99</v>
      </c>
      <c r="F181" s="17" t="s">
        <v>1600</v>
      </c>
      <c r="G181" s="16" t="s">
        <v>104</v>
      </c>
      <c r="H181" s="21" t="s">
        <v>55</v>
      </c>
      <c r="I181" s="16" t="s">
        <v>11</v>
      </c>
      <c r="J181" s="16" t="s">
        <v>266</v>
      </c>
      <c r="K181" s="16" t="s">
        <v>267</v>
      </c>
      <c r="L181" s="16"/>
      <c r="M181" s="16"/>
      <c r="N181" s="23" t="str">
        <f>HYPERLINK("http://slimages.macys.com/is/image/MCY/19287197 ")</f>
        <v xml:space="preserve">http://slimages.macys.com/is/image/MCY/19287197 </v>
      </c>
    </row>
    <row r="182" spans="1:14" x14ac:dyDescent="0.25">
      <c r="A182" s="21" t="s">
        <v>4580</v>
      </c>
      <c r="B182" s="16" t="s">
        <v>4581</v>
      </c>
      <c r="C182" s="17">
        <v>1</v>
      </c>
      <c r="D182" s="22">
        <v>19.989999999999998</v>
      </c>
      <c r="E182" s="22">
        <v>19.989999999999998</v>
      </c>
      <c r="F182" s="17" t="s">
        <v>3756</v>
      </c>
      <c r="G182" s="16" t="s">
        <v>199</v>
      </c>
      <c r="H182" s="21" t="s">
        <v>286</v>
      </c>
      <c r="I182" s="16" t="s">
        <v>11</v>
      </c>
      <c r="J182" s="16" t="s">
        <v>266</v>
      </c>
      <c r="K182" s="16" t="s">
        <v>267</v>
      </c>
      <c r="L182" s="16"/>
      <c r="M182" s="16"/>
      <c r="N182" s="23" t="str">
        <f>HYPERLINK("http://slimages.macys.com/is/image/MCY/18861099 ")</f>
        <v xml:space="preserve">http://slimages.macys.com/is/image/MCY/18861099 </v>
      </c>
    </row>
    <row r="183" spans="1:14" x14ac:dyDescent="0.25">
      <c r="A183" s="21" t="s">
        <v>4559</v>
      </c>
      <c r="B183" s="16" t="s">
        <v>4560</v>
      </c>
      <c r="C183" s="17">
        <v>1</v>
      </c>
      <c r="D183" s="22">
        <v>34.99</v>
      </c>
      <c r="E183" s="22">
        <v>34.99</v>
      </c>
      <c r="F183" s="17" t="s">
        <v>4561</v>
      </c>
      <c r="G183" s="16" t="s">
        <v>202</v>
      </c>
      <c r="H183" s="21" t="s">
        <v>158</v>
      </c>
      <c r="I183" s="16" t="s">
        <v>11</v>
      </c>
      <c r="J183" s="16" t="s">
        <v>266</v>
      </c>
      <c r="K183" s="16" t="s">
        <v>267</v>
      </c>
      <c r="L183" s="16"/>
      <c r="M183" s="16"/>
      <c r="N183" s="23" t="str">
        <f>HYPERLINK("http://slimages.macys.com/is/image/MCY/19287223 ")</f>
        <v xml:space="preserve">http://slimages.macys.com/is/image/MCY/19287223 </v>
      </c>
    </row>
    <row r="184" spans="1:14" x14ac:dyDescent="0.25">
      <c r="A184" s="21" t="s">
        <v>4589</v>
      </c>
      <c r="B184" s="16" t="s">
        <v>4590</v>
      </c>
      <c r="C184" s="17">
        <v>1</v>
      </c>
      <c r="D184" s="22">
        <v>14.99</v>
      </c>
      <c r="E184" s="22">
        <v>14.99</v>
      </c>
      <c r="F184" s="17" t="s">
        <v>4591</v>
      </c>
      <c r="G184" s="16" t="s">
        <v>86</v>
      </c>
      <c r="H184" s="21" t="s">
        <v>27</v>
      </c>
      <c r="I184" s="16" t="s">
        <v>11</v>
      </c>
      <c r="J184" s="16" t="s">
        <v>266</v>
      </c>
      <c r="K184" s="16" t="s">
        <v>267</v>
      </c>
      <c r="L184" s="16"/>
      <c r="M184" s="16"/>
      <c r="N184" s="23" t="str">
        <f>HYPERLINK("http://slimages.macys.com/is/image/MCY/19229349 ")</f>
        <v xml:space="preserve">http://slimages.macys.com/is/image/MCY/19229349 </v>
      </c>
    </row>
    <row r="185" spans="1:14" x14ac:dyDescent="0.25">
      <c r="A185" s="21" t="s">
        <v>4586</v>
      </c>
      <c r="B185" s="16" t="s">
        <v>4587</v>
      </c>
      <c r="C185" s="17">
        <v>1</v>
      </c>
      <c r="D185" s="22">
        <v>14.99</v>
      </c>
      <c r="E185" s="22">
        <v>14.99</v>
      </c>
      <c r="F185" s="17" t="s">
        <v>4588</v>
      </c>
      <c r="G185" s="16" t="s">
        <v>31</v>
      </c>
      <c r="H185" s="21" t="s">
        <v>40</v>
      </c>
      <c r="I185" s="16" t="s">
        <v>11</v>
      </c>
      <c r="J185" s="16" t="s">
        <v>266</v>
      </c>
      <c r="K185" s="16" t="s">
        <v>267</v>
      </c>
      <c r="L185" s="16" t="s">
        <v>111</v>
      </c>
      <c r="M185" s="16" t="s">
        <v>3513</v>
      </c>
      <c r="N185" s="23" t="str">
        <f>HYPERLINK("http://slimages.macys.com/is/image/MCY/19229351 ")</f>
        <v xml:space="preserve">http://slimages.macys.com/is/image/MCY/19229351 </v>
      </c>
    </row>
    <row r="186" spans="1:14" x14ac:dyDescent="0.25">
      <c r="A186" s="21" t="s">
        <v>4570</v>
      </c>
      <c r="B186" s="16" t="s">
        <v>4571</v>
      </c>
      <c r="C186" s="17">
        <v>2</v>
      </c>
      <c r="D186" s="22">
        <v>16.989999999999998</v>
      </c>
      <c r="E186" s="22">
        <v>33.979999999999997</v>
      </c>
      <c r="F186" s="17" t="s">
        <v>3383</v>
      </c>
      <c r="G186" s="16" t="s">
        <v>104</v>
      </c>
      <c r="H186" s="21" t="s">
        <v>32</v>
      </c>
      <c r="I186" s="16" t="s">
        <v>11</v>
      </c>
      <c r="J186" s="16" t="s">
        <v>266</v>
      </c>
      <c r="K186" s="16" t="s">
        <v>267</v>
      </c>
      <c r="L186" s="16"/>
      <c r="M186" s="16"/>
      <c r="N186" s="23" t="str">
        <f t="shared" ref="N186:N191" si="1">HYPERLINK("http://slimages.macys.com/is/image/MCY/19762280 ")</f>
        <v xml:space="preserve">http://slimages.macys.com/is/image/MCY/19762280 </v>
      </c>
    </row>
    <row r="187" spans="1:14" x14ac:dyDescent="0.25">
      <c r="A187" s="21" t="s">
        <v>3381</v>
      </c>
      <c r="B187" s="16" t="s">
        <v>3382</v>
      </c>
      <c r="C187" s="17">
        <v>2</v>
      </c>
      <c r="D187" s="22">
        <v>16.989999999999998</v>
      </c>
      <c r="E187" s="22">
        <v>33.979999999999997</v>
      </c>
      <c r="F187" s="17" t="s">
        <v>3383</v>
      </c>
      <c r="G187" s="16" t="s">
        <v>104</v>
      </c>
      <c r="H187" s="21" t="s">
        <v>40</v>
      </c>
      <c r="I187" s="16" t="s">
        <v>11</v>
      </c>
      <c r="J187" s="16" t="s">
        <v>266</v>
      </c>
      <c r="K187" s="16" t="s">
        <v>267</v>
      </c>
      <c r="L187" s="16"/>
      <c r="M187" s="16"/>
      <c r="N187" s="23" t="str">
        <f t="shared" si="1"/>
        <v xml:space="preserve">http://slimages.macys.com/is/image/MCY/19762280 </v>
      </c>
    </row>
    <row r="188" spans="1:14" x14ac:dyDescent="0.25">
      <c r="A188" s="21" t="s">
        <v>3748</v>
      </c>
      <c r="B188" s="16" t="s">
        <v>3749</v>
      </c>
      <c r="C188" s="17">
        <v>1</v>
      </c>
      <c r="D188" s="22">
        <v>16.989999999999998</v>
      </c>
      <c r="E188" s="22">
        <v>16.989999999999998</v>
      </c>
      <c r="F188" s="17" t="s">
        <v>3383</v>
      </c>
      <c r="G188" s="16" t="s">
        <v>104</v>
      </c>
      <c r="H188" s="21" t="s">
        <v>55</v>
      </c>
      <c r="I188" s="16" t="s">
        <v>11</v>
      </c>
      <c r="J188" s="16" t="s">
        <v>266</v>
      </c>
      <c r="K188" s="16" t="s">
        <v>267</v>
      </c>
      <c r="L188" s="16"/>
      <c r="M188" s="16"/>
      <c r="N188" s="23" t="str">
        <f t="shared" si="1"/>
        <v xml:space="preserve">http://slimages.macys.com/is/image/MCY/19762280 </v>
      </c>
    </row>
    <row r="189" spans="1:14" x14ac:dyDescent="0.25">
      <c r="A189" s="21" t="s">
        <v>3931</v>
      </c>
      <c r="B189" s="16" t="s">
        <v>3932</v>
      </c>
      <c r="C189" s="17">
        <v>3</v>
      </c>
      <c r="D189" s="22">
        <v>16.989999999999998</v>
      </c>
      <c r="E189" s="22">
        <v>50.97</v>
      </c>
      <c r="F189" s="17" t="s">
        <v>3383</v>
      </c>
      <c r="G189" s="16" t="s">
        <v>104</v>
      </c>
      <c r="H189" s="21" t="s">
        <v>27</v>
      </c>
      <c r="I189" s="16" t="s">
        <v>11</v>
      </c>
      <c r="J189" s="16" t="s">
        <v>266</v>
      </c>
      <c r="K189" s="16" t="s">
        <v>267</v>
      </c>
      <c r="L189" s="16"/>
      <c r="M189" s="16"/>
      <c r="N189" s="23" t="str">
        <f t="shared" si="1"/>
        <v xml:space="preserve">http://slimages.macys.com/is/image/MCY/19762280 </v>
      </c>
    </row>
    <row r="190" spans="1:14" x14ac:dyDescent="0.25">
      <c r="A190" s="21" t="s">
        <v>3798</v>
      </c>
      <c r="B190" s="16" t="s">
        <v>3799</v>
      </c>
      <c r="C190" s="17">
        <v>2</v>
      </c>
      <c r="D190" s="22">
        <v>16.989999999999998</v>
      </c>
      <c r="E190" s="22">
        <v>33.979999999999997</v>
      </c>
      <c r="F190" s="17" t="s">
        <v>3383</v>
      </c>
      <c r="G190" s="16" t="s">
        <v>104</v>
      </c>
      <c r="H190" s="21" t="s">
        <v>47</v>
      </c>
      <c r="I190" s="16" t="s">
        <v>11</v>
      </c>
      <c r="J190" s="16" t="s">
        <v>266</v>
      </c>
      <c r="K190" s="16" t="s">
        <v>267</v>
      </c>
      <c r="L190" s="16"/>
      <c r="M190" s="16"/>
      <c r="N190" s="23" t="str">
        <f t="shared" si="1"/>
        <v xml:space="preserve">http://slimages.macys.com/is/image/MCY/19762280 </v>
      </c>
    </row>
    <row r="191" spans="1:14" x14ac:dyDescent="0.25">
      <c r="A191" s="21" t="s">
        <v>3619</v>
      </c>
      <c r="B191" s="16" t="s">
        <v>3620</v>
      </c>
      <c r="C191" s="17">
        <v>3</v>
      </c>
      <c r="D191" s="22">
        <v>16.989999999999998</v>
      </c>
      <c r="E191" s="22">
        <v>50.97</v>
      </c>
      <c r="F191" s="17" t="s">
        <v>3383</v>
      </c>
      <c r="G191" s="16" t="s">
        <v>104</v>
      </c>
      <c r="H191" s="21" t="s">
        <v>87</v>
      </c>
      <c r="I191" s="16" t="s">
        <v>11</v>
      </c>
      <c r="J191" s="16" t="s">
        <v>266</v>
      </c>
      <c r="K191" s="16" t="s">
        <v>267</v>
      </c>
      <c r="L191" s="16"/>
      <c r="M191" s="16"/>
      <c r="N191" s="23" t="str">
        <f t="shared" si="1"/>
        <v xml:space="preserve">http://slimages.macys.com/is/image/MCY/19762280 </v>
      </c>
    </row>
    <row r="192" spans="1:14" x14ac:dyDescent="0.25">
      <c r="A192" s="21" t="s">
        <v>3624</v>
      </c>
      <c r="B192" s="16" t="s">
        <v>3625</v>
      </c>
      <c r="C192" s="17">
        <v>1</v>
      </c>
      <c r="D192" s="22">
        <v>17.989999999999998</v>
      </c>
      <c r="E192" s="22">
        <v>17.989999999999998</v>
      </c>
      <c r="F192" s="17" t="s">
        <v>3623</v>
      </c>
      <c r="G192" s="16" t="s">
        <v>202</v>
      </c>
      <c r="H192" s="21" t="s">
        <v>40</v>
      </c>
      <c r="I192" s="16" t="s">
        <v>11</v>
      </c>
      <c r="J192" s="16" t="s">
        <v>266</v>
      </c>
      <c r="K192" s="16" t="s">
        <v>267</v>
      </c>
      <c r="L192" s="16"/>
      <c r="M192" s="16"/>
      <c r="N192" s="23" t="str">
        <f>HYPERLINK("http://slimages.macys.com/is/image/MCY/19278844 ")</f>
        <v xml:space="preserve">http://slimages.macys.com/is/image/MCY/19278844 </v>
      </c>
    </row>
    <row r="193" spans="1:14" x14ac:dyDescent="0.25">
      <c r="A193" s="21" t="s">
        <v>3933</v>
      </c>
      <c r="B193" s="16" t="s">
        <v>3934</v>
      </c>
      <c r="C193" s="17">
        <v>2</v>
      </c>
      <c r="D193" s="22">
        <v>17.989999999999998</v>
      </c>
      <c r="E193" s="22">
        <v>35.979999999999997</v>
      </c>
      <c r="F193" s="17" t="s">
        <v>3623</v>
      </c>
      <c r="G193" s="16" t="s">
        <v>202</v>
      </c>
      <c r="H193" s="21" t="s">
        <v>55</v>
      </c>
      <c r="I193" s="16" t="s">
        <v>11</v>
      </c>
      <c r="J193" s="16" t="s">
        <v>266</v>
      </c>
      <c r="K193" s="16" t="s">
        <v>267</v>
      </c>
      <c r="L193" s="16"/>
      <c r="M193" s="16"/>
      <c r="N193" s="23" t="str">
        <f>HYPERLINK("http://slimages.macys.com/is/image/MCY/19278844 ")</f>
        <v xml:space="preserve">http://slimages.macys.com/is/image/MCY/19278844 </v>
      </c>
    </row>
    <row r="194" spans="1:14" x14ac:dyDescent="0.25">
      <c r="A194" s="21" t="s">
        <v>3621</v>
      </c>
      <c r="B194" s="16" t="s">
        <v>3622</v>
      </c>
      <c r="C194" s="17">
        <v>3</v>
      </c>
      <c r="D194" s="22">
        <v>17.989999999999998</v>
      </c>
      <c r="E194" s="22">
        <v>53.97</v>
      </c>
      <c r="F194" s="17" t="s">
        <v>3623</v>
      </c>
      <c r="G194" s="16" t="s">
        <v>202</v>
      </c>
      <c r="H194" s="21" t="s">
        <v>47</v>
      </c>
      <c r="I194" s="16" t="s">
        <v>11</v>
      </c>
      <c r="J194" s="16" t="s">
        <v>266</v>
      </c>
      <c r="K194" s="16" t="s">
        <v>267</v>
      </c>
      <c r="L194" s="16"/>
      <c r="M194" s="16"/>
      <c r="N194" s="23" t="str">
        <f>HYPERLINK("http://slimages.macys.com/is/image/MCY/19278844 ")</f>
        <v xml:space="preserve">http://slimages.macys.com/is/image/MCY/19278844 </v>
      </c>
    </row>
    <row r="195" spans="1:14" x14ac:dyDescent="0.25">
      <c r="A195" s="21" t="s">
        <v>3807</v>
      </c>
      <c r="B195" s="16" t="s">
        <v>3808</v>
      </c>
      <c r="C195" s="17">
        <v>4</v>
      </c>
      <c r="D195" s="22">
        <v>17.989999999999998</v>
      </c>
      <c r="E195" s="22">
        <v>71.959999999999994</v>
      </c>
      <c r="F195" s="17" t="s">
        <v>3623</v>
      </c>
      <c r="G195" s="16" t="s">
        <v>202</v>
      </c>
      <c r="H195" s="21" t="s">
        <v>87</v>
      </c>
      <c r="I195" s="16" t="s">
        <v>11</v>
      </c>
      <c r="J195" s="16" t="s">
        <v>266</v>
      </c>
      <c r="K195" s="16" t="s">
        <v>267</v>
      </c>
      <c r="L195" s="16"/>
      <c r="M195" s="16"/>
      <c r="N195" s="23" t="str">
        <f>HYPERLINK("http://slimages.macys.com/is/image/MCY/19278844 ")</f>
        <v xml:space="preserve">http://slimages.macys.com/is/image/MCY/19278844 </v>
      </c>
    </row>
    <row r="196" spans="1:14" x14ac:dyDescent="0.25">
      <c r="A196" s="21" t="s">
        <v>4576</v>
      </c>
      <c r="B196" s="16" t="s">
        <v>4577</v>
      </c>
      <c r="C196" s="17">
        <v>1</v>
      </c>
      <c r="D196" s="22">
        <v>17.989999999999998</v>
      </c>
      <c r="E196" s="22">
        <v>17.989999999999998</v>
      </c>
      <c r="F196" s="17" t="s">
        <v>3628</v>
      </c>
      <c r="G196" s="16" t="s">
        <v>270</v>
      </c>
      <c r="H196" s="21" t="s">
        <v>32</v>
      </c>
      <c r="I196" s="16" t="s">
        <v>11</v>
      </c>
      <c r="J196" s="16" t="s">
        <v>266</v>
      </c>
      <c r="K196" s="16" t="s">
        <v>267</v>
      </c>
      <c r="L196" s="16"/>
      <c r="M196" s="16"/>
      <c r="N196" s="23" t="str">
        <f>HYPERLINK("http://slimages.macys.com/is/image/MCY/19737298 ")</f>
        <v xml:space="preserve">http://slimages.macys.com/is/image/MCY/19737298 </v>
      </c>
    </row>
    <row r="197" spans="1:14" x14ac:dyDescent="0.25">
      <c r="A197" s="21" t="s">
        <v>3803</v>
      </c>
      <c r="B197" s="16" t="s">
        <v>3804</v>
      </c>
      <c r="C197" s="17">
        <v>1</v>
      </c>
      <c r="D197" s="22">
        <v>26.11</v>
      </c>
      <c r="E197" s="22">
        <v>26.11</v>
      </c>
      <c r="F197" s="17" t="s">
        <v>3628</v>
      </c>
      <c r="G197" s="16" t="s">
        <v>270</v>
      </c>
      <c r="H197" s="21" t="s">
        <v>40</v>
      </c>
      <c r="I197" s="16" t="s">
        <v>11</v>
      </c>
      <c r="J197" s="16" t="s">
        <v>266</v>
      </c>
      <c r="K197" s="16" t="s">
        <v>267</v>
      </c>
      <c r="L197" s="16"/>
      <c r="M197" s="16"/>
      <c r="N197" s="23" t="str">
        <f>HYPERLINK("http://slimages.macys.com/is/image/MCY/19278844 ")</f>
        <v xml:space="preserve">http://slimages.macys.com/is/image/MCY/19278844 </v>
      </c>
    </row>
    <row r="198" spans="1:14" x14ac:dyDescent="0.25">
      <c r="A198" s="21" t="s">
        <v>4145</v>
      </c>
      <c r="B198" s="16" t="s">
        <v>4146</v>
      </c>
      <c r="C198" s="17">
        <v>1</v>
      </c>
      <c r="D198" s="22">
        <v>17.989999999999998</v>
      </c>
      <c r="E198" s="22">
        <v>17.989999999999998</v>
      </c>
      <c r="F198" s="17" t="s">
        <v>3628</v>
      </c>
      <c r="G198" s="16" t="s">
        <v>270</v>
      </c>
      <c r="H198" s="21" t="s">
        <v>27</v>
      </c>
      <c r="I198" s="16" t="s">
        <v>11</v>
      </c>
      <c r="J198" s="16" t="s">
        <v>266</v>
      </c>
      <c r="K198" s="16" t="s">
        <v>267</v>
      </c>
      <c r="L198" s="16"/>
      <c r="M198" s="16"/>
      <c r="N198" s="23" t="str">
        <f>HYPERLINK("http://slimages.macys.com/is/image/MCY/19737298 ")</f>
        <v xml:space="preserve">http://slimages.macys.com/is/image/MCY/19737298 </v>
      </c>
    </row>
    <row r="199" spans="1:14" x14ac:dyDescent="0.25">
      <c r="A199" s="21" t="s">
        <v>3626</v>
      </c>
      <c r="B199" s="16" t="s">
        <v>3627</v>
      </c>
      <c r="C199" s="17">
        <v>1</v>
      </c>
      <c r="D199" s="22">
        <v>26.11</v>
      </c>
      <c r="E199" s="22">
        <v>26.11</v>
      </c>
      <c r="F199" s="17" t="s">
        <v>3628</v>
      </c>
      <c r="G199" s="16" t="s">
        <v>270</v>
      </c>
      <c r="H199" s="21" t="s">
        <v>47</v>
      </c>
      <c r="I199" s="16" t="s">
        <v>11</v>
      </c>
      <c r="J199" s="16" t="s">
        <v>266</v>
      </c>
      <c r="K199" s="16" t="s">
        <v>267</v>
      </c>
      <c r="L199" s="16"/>
      <c r="M199" s="16"/>
      <c r="N199" s="23" t="str">
        <f>HYPERLINK("http://slimages.macys.com/is/image/MCY/19737298 ")</f>
        <v xml:space="preserve">http://slimages.macys.com/is/image/MCY/19737298 </v>
      </c>
    </row>
    <row r="200" spans="1:14" x14ac:dyDescent="0.25">
      <c r="A200" s="21" t="s">
        <v>3805</v>
      </c>
      <c r="B200" s="16" t="s">
        <v>3806</v>
      </c>
      <c r="C200" s="17">
        <v>1</v>
      </c>
      <c r="D200" s="22">
        <v>17.989999999999998</v>
      </c>
      <c r="E200" s="22">
        <v>17.989999999999998</v>
      </c>
      <c r="F200" s="17" t="s">
        <v>3628</v>
      </c>
      <c r="G200" s="16" t="s">
        <v>270</v>
      </c>
      <c r="H200" s="21" t="s">
        <v>87</v>
      </c>
      <c r="I200" s="16" t="s">
        <v>11</v>
      </c>
      <c r="J200" s="16" t="s">
        <v>266</v>
      </c>
      <c r="K200" s="16" t="s">
        <v>267</v>
      </c>
      <c r="L200" s="16"/>
      <c r="M200" s="16"/>
      <c r="N200" s="23" t="str">
        <f>HYPERLINK("http://slimages.macys.com/is/image/MCY/19737298 ")</f>
        <v xml:space="preserve">http://slimages.macys.com/is/image/MCY/19737298 </v>
      </c>
    </row>
    <row r="201" spans="1:14" x14ac:dyDescent="0.25">
      <c r="A201" s="21" t="s">
        <v>276</v>
      </c>
      <c r="B201" s="16" t="s">
        <v>277</v>
      </c>
      <c r="C201" s="17">
        <v>1</v>
      </c>
      <c r="D201" s="22">
        <v>17.989999999999998</v>
      </c>
      <c r="E201" s="22">
        <v>17.989999999999998</v>
      </c>
      <c r="F201" s="17" t="s">
        <v>278</v>
      </c>
      <c r="G201" s="16" t="s">
        <v>104</v>
      </c>
      <c r="H201" s="21" t="s">
        <v>47</v>
      </c>
      <c r="I201" s="16" t="s">
        <v>11</v>
      </c>
      <c r="J201" s="16" t="s">
        <v>266</v>
      </c>
      <c r="K201" s="16" t="s">
        <v>267</v>
      </c>
      <c r="L201" s="16"/>
      <c r="M201" s="16"/>
      <c r="N201" s="23" t="str">
        <f>HYPERLINK("http://slimages.macys.com/is/image/MCY/19737298 ")</f>
        <v xml:space="preserve">http://slimages.macys.com/is/image/MCY/19737298 </v>
      </c>
    </row>
    <row r="202" spans="1:14" x14ac:dyDescent="0.25">
      <c r="A202" s="21" t="s">
        <v>4574</v>
      </c>
      <c r="B202" s="16" t="s">
        <v>4575</v>
      </c>
      <c r="C202" s="17">
        <v>1</v>
      </c>
      <c r="D202" s="22">
        <v>17.989999999999998</v>
      </c>
      <c r="E202" s="22">
        <v>17.989999999999998</v>
      </c>
      <c r="F202" s="17" t="s">
        <v>1215</v>
      </c>
      <c r="G202" s="16" t="s">
        <v>31</v>
      </c>
      <c r="H202" s="21" t="s">
        <v>40</v>
      </c>
      <c r="I202" s="16" t="s">
        <v>11</v>
      </c>
      <c r="J202" s="16" t="s">
        <v>266</v>
      </c>
      <c r="K202" s="16" t="s">
        <v>267</v>
      </c>
      <c r="L202" s="16"/>
      <c r="M202" s="16"/>
      <c r="N202" s="23" t="str">
        <f>HYPERLINK("http://slimages.macys.com/is/image/MCY/19737298 ")</f>
        <v xml:space="preserve">http://slimages.macys.com/is/image/MCY/19737298 </v>
      </c>
    </row>
    <row r="203" spans="1:14" x14ac:dyDescent="0.25">
      <c r="A203" s="21" t="s">
        <v>2476</v>
      </c>
      <c r="B203" s="16" t="s">
        <v>2477</v>
      </c>
      <c r="C203" s="17">
        <v>1</v>
      </c>
      <c r="D203" s="22">
        <v>26.11</v>
      </c>
      <c r="E203" s="22">
        <v>26.11</v>
      </c>
      <c r="F203" s="17">
        <v>100080273</v>
      </c>
      <c r="G203" s="16" t="s">
        <v>31</v>
      </c>
      <c r="H203" s="21" t="s">
        <v>2478</v>
      </c>
      <c r="I203" s="16" t="s">
        <v>11</v>
      </c>
      <c r="J203" s="16" t="s">
        <v>266</v>
      </c>
      <c r="K203" s="16" t="s">
        <v>267</v>
      </c>
      <c r="L203" s="16"/>
      <c r="M203" s="16"/>
      <c r="N203" s="23" t="str">
        <f>HYPERLINK("http://slimages.macys.com/is/image/MCY/15525372 ")</f>
        <v xml:space="preserve">http://slimages.macys.com/is/image/MCY/15525372 </v>
      </c>
    </row>
    <row r="204" spans="1:14" x14ac:dyDescent="0.25">
      <c r="A204" s="21" t="s">
        <v>749</v>
      </c>
      <c r="B204" s="16" t="s">
        <v>750</v>
      </c>
      <c r="C204" s="17">
        <v>1</v>
      </c>
      <c r="D204" s="22">
        <v>24.99</v>
      </c>
      <c r="E204" s="22">
        <v>24.99</v>
      </c>
      <c r="F204" s="17" t="s">
        <v>751</v>
      </c>
      <c r="G204" s="16" t="s">
        <v>85</v>
      </c>
      <c r="H204" s="21" t="s">
        <v>87</v>
      </c>
      <c r="I204" s="16" t="s">
        <v>11</v>
      </c>
      <c r="J204" s="16" t="s">
        <v>266</v>
      </c>
      <c r="K204" s="16" t="s">
        <v>267</v>
      </c>
      <c r="L204" s="16"/>
      <c r="M204" s="16"/>
      <c r="N204" s="23" t="str">
        <f>HYPERLINK("http://slimages.macys.com/is/image/MCY/19610914 ")</f>
        <v xml:space="preserve">http://slimages.macys.com/is/image/MCY/19610914 </v>
      </c>
    </row>
    <row r="205" spans="1:14" x14ac:dyDescent="0.25">
      <c r="A205" s="21" t="s">
        <v>3811</v>
      </c>
      <c r="B205" s="16" t="s">
        <v>3812</v>
      </c>
      <c r="C205" s="17">
        <v>1</v>
      </c>
      <c r="D205" s="22">
        <v>24.99</v>
      </c>
      <c r="E205" s="22">
        <v>24.99</v>
      </c>
      <c r="F205" s="17" t="s">
        <v>1811</v>
      </c>
      <c r="G205" s="16" t="s">
        <v>122</v>
      </c>
      <c r="H205" s="21" t="s">
        <v>27</v>
      </c>
      <c r="I205" s="16" t="s">
        <v>11</v>
      </c>
      <c r="J205" s="16" t="s">
        <v>266</v>
      </c>
      <c r="K205" s="16" t="s">
        <v>267</v>
      </c>
      <c r="L205" s="16"/>
      <c r="M205" s="16"/>
      <c r="N205" s="23" t="str">
        <f>HYPERLINK("http://slimages.macys.com/is/image/MCY/19610908 ")</f>
        <v xml:space="preserve">http://slimages.macys.com/is/image/MCY/19610908 </v>
      </c>
    </row>
    <row r="206" spans="1:14" x14ac:dyDescent="0.25">
      <c r="A206" s="21" t="s">
        <v>3402</v>
      </c>
      <c r="B206" s="16" t="s">
        <v>3403</v>
      </c>
      <c r="C206" s="17">
        <v>2</v>
      </c>
      <c r="D206" s="22">
        <v>24.99</v>
      </c>
      <c r="E206" s="22">
        <v>49.98</v>
      </c>
      <c r="F206" s="17" t="s">
        <v>1811</v>
      </c>
      <c r="G206" s="16" t="s">
        <v>122</v>
      </c>
      <c r="H206" s="21" t="s">
        <v>47</v>
      </c>
      <c r="I206" s="16" t="s">
        <v>11</v>
      </c>
      <c r="J206" s="16" t="s">
        <v>266</v>
      </c>
      <c r="K206" s="16" t="s">
        <v>267</v>
      </c>
      <c r="L206" s="16"/>
      <c r="M206" s="16"/>
      <c r="N206" s="23" t="str">
        <f>HYPERLINK("http://slimages.macys.com/is/image/MCY/19610914 ")</f>
        <v xml:space="preserve">http://slimages.macys.com/is/image/MCY/19610914 </v>
      </c>
    </row>
    <row r="207" spans="1:14" x14ac:dyDescent="0.25">
      <c r="A207" s="21" t="s">
        <v>3752</v>
      </c>
      <c r="B207" s="16" t="s">
        <v>3753</v>
      </c>
      <c r="C207" s="17">
        <v>2</v>
      </c>
      <c r="D207" s="22">
        <v>16.989999999999998</v>
      </c>
      <c r="E207" s="22">
        <v>33.979999999999997</v>
      </c>
      <c r="F207" s="17" t="s">
        <v>1806</v>
      </c>
      <c r="G207" s="16" t="s">
        <v>85</v>
      </c>
      <c r="H207" s="21" t="s">
        <v>32</v>
      </c>
      <c r="I207" s="16" t="s">
        <v>11</v>
      </c>
      <c r="J207" s="16" t="s">
        <v>266</v>
      </c>
      <c r="K207" s="16" t="s">
        <v>267</v>
      </c>
      <c r="L207" s="16"/>
      <c r="M207" s="16"/>
      <c r="N207" s="23" t="str">
        <f>HYPERLINK("http://slimages.macys.com/is/image/MCY/1061178 ")</f>
        <v xml:space="preserve">http://slimages.macys.com/is/image/MCY/1061178 </v>
      </c>
    </row>
    <row r="208" spans="1:14" x14ac:dyDescent="0.25">
      <c r="A208" s="21" t="s">
        <v>3392</v>
      </c>
      <c r="B208" s="16" t="s">
        <v>3393</v>
      </c>
      <c r="C208" s="17">
        <v>3</v>
      </c>
      <c r="D208" s="22">
        <v>16.989999999999998</v>
      </c>
      <c r="E208" s="22">
        <v>50.97</v>
      </c>
      <c r="F208" s="17" t="s">
        <v>1806</v>
      </c>
      <c r="G208" s="16" t="s">
        <v>85</v>
      </c>
      <c r="H208" s="21" t="s">
        <v>40</v>
      </c>
      <c r="I208" s="16" t="s">
        <v>11</v>
      </c>
      <c r="J208" s="16" t="s">
        <v>266</v>
      </c>
      <c r="K208" s="16" t="s">
        <v>267</v>
      </c>
      <c r="L208" s="16"/>
      <c r="M208" s="16"/>
      <c r="N208" s="23" t="str">
        <f>HYPERLINK("http://slimages.macys.com/is/image/MCY/1061178 ")</f>
        <v xml:space="preserve">http://slimages.macys.com/is/image/MCY/1061178 </v>
      </c>
    </row>
    <row r="209" spans="1:14" x14ac:dyDescent="0.25">
      <c r="A209" s="21" t="s">
        <v>3396</v>
      </c>
      <c r="B209" s="16" t="s">
        <v>3397</v>
      </c>
      <c r="C209" s="17">
        <v>2</v>
      </c>
      <c r="D209" s="22">
        <v>16.989999999999998</v>
      </c>
      <c r="E209" s="22">
        <v>33.979999999999997</v>
      </c>
      <c r="F209" s="17" t="s">
        <v>1806</v>
      </c>
      <c r="G209" s="16" t="s">
        <v>85</v>
      </c>
      <c r="H209" s="21" t="s">
        <v>55</v>
      </c>
      <c r="I209" s="16" t="s">
        <v>11</v>
      </c>
      <c r="J209" s="16" t="s">
        <v>266</v>
      </c>
      <c r="K209" s="16" t="s">
        <v>267</v>
      </c>
      <c r="L209" s="16"/>
      <c r="M209" s="16"/>
      <c r="N209" s="23" t="str">
        <f>HYPERLINK("http://slimages.macys.com/is/image/MCY/20324880 ")</f>
        <v xml:space="preserve">http://slimages.macys.com/is/image/MCY/20324880 </v>
      </c>
    </row>
    <row r="210" spans="1:14" x14ac:dyDescent="0.25">
      <c r="A210" s="21" t="s">
        <v>3629</v>
      </c>
      <c r="B210" s="16" t="s">
        <v>3630</v>
      </c>
      <c r="C210" s="17">
        <v>4</v>
      </c>
      <c r="D210" s="22">
        <v>16.989999999999998</v>
      </c>
      <c r="E210" s="22">
        <v>67.959999999999994</v>
      </c>
      <c r="F210" s="17" t="s">
        <v>1806</v>
      </c>
      <c r="G210" s="16" t="s">
        <v>85</v>
      </c>
      <c r="H210" s="21" t="s">
        <v>27</v>
      </c>
      <c r="I210" s="16" t="s">
        <v>11</v>
      </c>
      <c r="J210" s="16" t="s">
        <v>266</v>
      </c>
      <c r="K210" s="16" t="s">
        <v>267</v>
      </c>
      <c r="L210" s="16"/>
      <c r="M210" s="16"/>
      <c r="N210" s="23" t="str">
        <f>HYPERLINK("http://slimages.macys.com/is/image/MCY/1061178 ")</f>
        <v xml:space="preserve">http://slimages.macys.com/is/image/MCY/1061178 </v>
      </c>
    </row>
    <row r="211" spans="1:14" x14ac:dyDescent="0.25">
      <c r="A211" s="21" t="s">
        <v>3386</v>
      </c>
      <c r="B211" s="16" t="s">
        <v>3387</v>
      </c>
      <c r="C211" s="17">
        <v>3</v>
      </c>
      <c r="D211" s="22">
        <v>16.989999999999998</v>
      </c>
      <c r="E211" s="22">
        <v>50.97</v>
      </c>
      <c r="F211" s="17" t="s">
        <v>1806</v>
      </c>
      <c r="G211" s="16" t="s">
        <v>85</v>
      </c>
      <c r="H211" s="21" t="s">
        <v>47</v>
      </c>
      <c r="I211" s="16" t="s">
        <v>11</v>
      </c>
      <c r="J211" s="16" t="s">
        <v>266</v>
      </c>
      <c r="K211" s="16" t="s">
        <v>267</v>
      </c>
      <c r="L211" s="16"/>
      <c r="M211" s="16"/>
      <c r="N211" s="23" t="str">
        <f>HYPERLINK("http://slimages.macys.com/is/image/MCY/20325138 ")</f>
        <v xml:space="preserve">http://slimages.macys.com/is/image/MCY/20325138 </v>
      </c>
    </row>
    <row r="212" spans="1:14" x14ac:dyDescent="0.25">
      <c r="A212" s="21" t="s">
        <v>3388</v>
      </c>
      <c r="B212" s="16" t="s">
        <v>3389</v>
      </c>
      <c r="C212" s="17">
        <v>4</v>
      </c>
      <c r="D212" s="22">
        <v>16.989999999999998</v>
      </c>
      <c r="E212" s="22">
        <v>67.959999999999994</v>
      </c>
      <c r="F212" s="17" t="s">
        <v>1806</v>
      </c>
      <c r="G212" s="16" t="s">
        <v>85</v>
      </c>
      <c r="H212" s="21" t="s">
        <v>87</v>
      </c>
      <c r="I212" s="16" t="s">
        <v>11</v>
      </c>
      <c r="J212" s="16" t="s">
        <v>266</v>
      </c>
      <c r="K212" s="16" t="s">
        <v>267</v>
      </c>
      <c r="L212" s="16"/>
      <c r="M212" s="16"/>
      <c r="N212" s="23" t="str">
        <f>HYPERLINK("http://slimages.macys.com/is/image/MCY/1061178 ")</f>
        <v xml:space="preserve">http://slimages.macys.com/is/image/MCY/1061178 </v>
      </c>
    </row>
    <row r="213" spans="1:14" x14ac:dyDescent="0.25">
      <c r="A213" s="21" t="s">
        <v>3390</v>
      </c>
      <c r="B213" s="16" t="s">
        <v>3391</v>
      </c>
      <c r="C213" s="17">
        <v>4</v>
      </c>
      <c r="D213" s="22">
        <v>16.989999999999998</v>
      </c>
      <c r="E213" s="22">
        <v>67.959999999999994</v>
      </c>
      <c r="F213" s="17" t="s">
        <v>1806</v>
      </c>
      <c r="G213" s="16" t="s">
        <v>26</v>
      </c>
      <c r="H213" s="21" t="s">
        <v>32</v>
      </c>
      <c r="I213" s="16" t="s">
        <v>11</v>
      </c>
      <c r="J213" s="16" t="s">
        <v>266</v>
      </c>
      <c r="K213" s="16" t="s">
        <v>267</v>
      </c>
      <c r="L213" s="16"/>
      <c r="M213" s="16"/>
      <c r="N213" s="23" t="str">
        <f>HYPERLINK("http://slimages.macys.com/is/image/MCY/20324880 ")</f>
        <v xml:space="preserve">http://slimages.macys.com/is/image/MCY/20324880 </v>
      </c>
    </row>
    <row r="214" spans="1:14" x14ac:dyDescent="0.25">
      <c r="A214" s="21" t="s">
        <v>3809</v>
      </c>
      <c r="B214" s="16" t="s">
        <v>3810</v>
      </c>
      <c r="C214" s="17">
        <v>6</v>
      </c>
      <c r="D214" s="22">
        <v>16.989999999999998</v>
      </c>
      <c r="E214" s="22">
        <v>101.94</v>
      </c>
      <c r="F214" s="17" t="s">
        <v>1806</v>
      </c>
      <c r="G214" s="16" t="s">
        <v>26</v>
      </c>
      <c r="H214" s="21" t="s">
        <v>40</v>
      </c>
      <c r="I214" s="16" t="s">
        <v>11</v>
      </c>
      <c r="J214" s="16" t="s">
        <v>266</v>
      </c>
      <c r="K214" s="16" t="s">
        <v>267</v>
      </c>
      <c r="L214" s="16"/>
      <c r="M214" s="16"/>
      <c r="N214" s="23" t="str">
        <f>HYPERLINK("http://slimages.macys.com/is/image/MCY/1061178 ")</f>
        <v xml:space="preserve">http://slimages.macys.com/is/image/MCY/1061178 </v>
      </c>
    </row>
    <row r="215" spans="1:14" x14ac:dyDescent="0.25">
      <c r="A215" s="21" t="s">
        <v>1807</v>
      </c>
      <c r="B215" s="16" t="s">
        <v>1808</v>
      </c>
      <c r="C215" s="17">
        <v>3</v>
      </c>
      <c r="D215" s="22">
        <v>16.989999999999998</v>
      </c>
      <c r="E215" s="22">
        <v>50.97</v>
      </c>
      <c r="F215" s="17" t="s">
        <v>1806</v>
      </c>
      <c r="G215" s="16" t="s">
        <v>26</v>
      </c>
      <c r="H215" s="21" t="s">
        <v>27</v>
      </c>
      <c r="I215" s="16" t="s">
        <v>11</v>
      </c>
      <c r="J215" s="16" t="s">
        <v>266</v>
      </c>
      <c r="K215" s="16" t="s">
        <v>267</v>
      </c>
      <c r="L215" s="16"/>
      <c r="M215" s="16"/>
      <c r="N215" s="23" t="str">
        <f>HYPERLINK("http://slimages.macys.com/is/image/MCY/20324880 ")</f>
        <v xml:space="preserve">http://slimages.macys.com/is/image/MCY/20324880 </v>
      </c>
    </row>
    <row r="216" spans="1:14" x14ac:dyDescent="0.25">
      <c r="A216" s="21" t="s">
        <v>1804</v>
      </c>
      <c r="B216" s="16" t="s">
        <v>1805</v>
      </c>
      <c r="C216" s="17">
        <v>3</v>
      </c>
      <c r="D216" s="22">
        <v>16.989999999999998</v>
      </c>
      <c r="E216" s="22">
        <v>50.97</v>
      </c>
      <c r="F216" s="17" t="s">
        <v>1806</v>
      </c>
      <c r="G216" s="16" t="s">
        <v>26</v>
      </c>
      <c r="H216" s="21" t="s">
        <v>47</v>
      </c>
      <c r="I216" s="16" t="s">
        <v>11</v>
      </c>
      <c r="J216" s="16" t="s">
        <v>266</v>
      </c>
      <c r="K216" s="16" t="s">
        <v>267</v>
      </c>
      <c r="L216" s="16"/>
      <c r="M216" s="16"/>
      <c r="N216" s="23" t="str">
        <f>HYPERLINK("http://slimages.macys.com/is/image/MCY/1061178 ")</f>
        <v xml:space="preserve">http://slimages.macys.com/is/image/MCY/1061178 </v>
      </c>
    </row>
    <row r="217" spans="1:14" x14ac:dyDescent="0.25">
      <c r="A217" s="21" t="s">
        <v>3635</v>
      </c>
      <c r="B217" s="16" t="s">
        <v>3636</v>
      </c>
      <c r="C217" s="17">
        <v>2</v>
      </c>
      <c r="D217" s="22">
        <v>16.989999999999998</v>
      </c>
      <c r="E217" s="22">
        <v>33.979999999999997</v>
      </c>
      <c r="F217" s="17" t="s">
        <v>1806</v>
      </c>
      <c r="G217" s="16" t="s">
        <v>26</v>
      </c>
      <c r="H217" s="21" t="s">
        <v>87</v>
      </c>
      <c r="I217" s="16" t="s">
        <v>11</v>
      </c>
      <c r="J217" s="16" t="s">
        <v>266</v>
      </c>
      <c r="K217" s="16" t="s">
        <v>267</v>
      </c>
      <c r="L217" s="16"/>
      <c r="M217" s="16"/>
      <c r="N217" s="23" t="str">
        <f>HYPERLINK("http://slimages.macys.com/is/image/MCY/20324880 ")</f>
        <v xml:space="preserve">http://slimages.macys.com/is/image/MCY/20324880 </v>
      </c>
    </row>
    <row r="218" spans="1:14" x14ac:dyDescent="0.25">
      <c r="A218" s="21" t="s">
        <v>3750</v>
      </c>
      <c r="B218" s="16" t="s">
        <v>3751</v>
      </c>
      <c r="C218" s="17">
        <v>1</v>
      </c>
      <c r="D218" s="22">
        <v>16.989999999999998</v>
      </c>
      <c r="E218" s="22">
        <v>16.989999999999998</v>
      </c>
      <c r="F218" s="17" t="s">
        <v>1806</v>
      </c>
      <c r="G218" s="16" t="s">
        <v>76</v>
      </c>
      <c r="H218" s="21" t="s">
        <v>32</v>
      </c>
      <c r="I218" s="16" t="s">
        <v>11</v>
      </c>
      <c r="J218" s="16" t="s">
        <v>266</v>
      </c>
      <c r="K218" s="16" t="s">
        <v>267</v>
      </c>
      <c r="L218" s="16"/>
      <c r="M218" s="16"/>
      <c r="N218" s="23" t="str">
        <f>HYPERLINK("http://slimages.macys.com/is/image/MCY/20324880 ")</f>
        <v xml:space="preserve">http://slimages.macys.com/is/image/MCY/20324880 </v>
      </c>
    </row>
    <row r="219" spans="1:14" x14ac:dyDescent="0.25">
      <c r="A219" s="21" t="s">
        <v>3400</v>
      </c>
      <c r="B219" s="16" t="s">
        <v>3401</v>
      </c>
      <c r="C219" s="17">
        <v>1</v>
      </c>
      <c r="D219" s="22">
        <v>16.989999999999998</v>
      </c>
      <c r="E219" s="22">
        <v>16.989999999999998</v>
      </c>
      <c r="F219" s="17" t="s">
        <v>1806</v>
      </c>
      <c r="G219" s="16" t="s">
        <v>76</v>
      </c>
      <c r="H219" s="21" t="s">
        <v>55</v>
      </c>
      <c r="I219" s="16" t="s">
        <v>11</v>
      </c>
      <c r="J219" s="16" t="s">
        <v>266</v>
      </c>
      <c r="K219" s="16" t="s">
        <v>267</v>
      </c>
      <c r="L219" s="16"/>
      <c r="M219" s="16"/>
      <c r="N219" s="23" t="str">
        <f>HYPERLINK("http://slimages.macys.com/is/image/MCY/20324880 ")</f>
        <v xml:space="preserve">http://slimages.macys.com/is/image/MCY/20324880 </v>
      </c>
    </row>
    <row r="220" spans="1:14" x14ac:dyDescent="0.25">
      <c r="A220" s="21" t="s">
        <v>3633</v>
      </c>
      <c r="B220" s="16" t="s">
        <v>3634</v>
      </c>
      <c r="C220" s="17">
        <v>3</v>
      </c>
      <c r="D220" s="22">
        <v>16.989999999999998</v>
      </c>
      <c r="E220" s="22">
        <v>50.97</v>
      </c>
      <c r="F220" s="17" t="s">
        <v>1806</v>
      </c>
      <c r="G220" s="16" t="s">
        <v>76</v>
      </c>
      <c r="H220" s="21" t="s">
        <v>27</v>
      </c>
      <c r="I220" s="16" t="s">
        <v>11</v>
      </c>
      <c r="J220" s="16" t="s">
        <v>266</v>
      </c>
      <c r="K220" s="16" t="s">
        <v>267</v>
      </c>
      <c r="L220" s="16"/>
      <c r="M220" s="16"/>
      <c r="N220" s="23" t="str">
        <f>HYPERLINK("http://slimages.macys.com/is/image/MCY/20324880 ")</f>
        <v xml:space="preserve">http://slimages.macys.com/is/image/MCY/20324880 </v>
      </c>
    </row>
    <row r="221" spans="1:14" x14ac:dyDescent="0.25">
      <c r="A221" s="21" t="s">
        <v>1809</v>
      </c>
      <c r="B221" s="16" t="s">
        <v>1810</v>
      </c>
      <c r="C221" s="17">
        <v>1</v>
      </c>
      <c r="D221" s="22">
        <v>16.989999999999998</v>
      </c>
      <c r="E221" s="22">
        <v>16.989999999999998</v>
      </c>
      <c r="F221" s="17" t="s">
        <v>1806</v>
      </c>
      <c r="G221" s="16" t="s">
        <v>76</v>
      </c>
      <c r="H221" s="21" t="s">
        <v>87</v>
      </c>
      <c r="I221" s="16" t="s">
        <v>11</v>
      </c>
      <c r="J221" s="16" t="s">
        <v>266</v>
      </c>
      <c r="K221" s="16" t="s">
        <v>267</v>
      </c>
      <c r="L221" s="16"/>
      <c r="M221" s="16"/>
      <c r="N221" s="23" t="str">
        <f>HYPERLINK("http://slimages.macys.com/is/image/MCY/20325138 ")</f>
        <v xml:space="preserve">http://slimages.macys.com/is/image/MCY/20325138 </v>
      </c>
    </row>
    <row r="222" spans="1:14" x14ac:dyDescent="0.25">
      <c r="A222" s="21" t="s">
        <v>4584</v>
      </c>
      <c r="B222" s="16" t="s">
        <v>4585</v>
      </c>
      <c r="C222" s="17">
        <v>1</v>
      </c>
      <c r="D222" s="22">
        <v>15.99</v>
      </c>
      <c r="E222" s="22">
        <v>15.99</v>
      </c>
      <c r="F222" s="17" t="s">
        <v>335</v>
      </c>
      <c r="G222" s="16" t="s">
        <v>76</v>
      </c>
      <c r="H222" s="21" t="s">
        <v>47</v>
      </c>
      <c r="I222" s="16" t="s">
        <v>11</v>
      </c>
      <c r="J222" s="16" t="s">
        <v>266</v>
      </c>
      <c r="K222" s="16" t="s">
        <v>267</v>
      </c>
      <c r="L222" s="16"/>
      <c r="M222" s="16"/>
      <c r="N222" s="23" t="str">
        <f>HYPERLINK("http://slimages.macys.com/is/image/MCY/19643930 ")</f>
        <v xml:space="preserve">http://slimages.macys.com/is/image/MCY/19643930 </v>
      </c>
    </row>
    <row r="223" spans="1:14" x14ac:dyDescent="0.25">
      <c r="A223" s="21" t="s">
        <v>4562</v>
      </c>
      <c r="B223" s="16" t="s">
        <v>4563</v>
      </c>
      <c r="C223" s="17">
        <v>1</v>
      </c>
      <c r="D223" s="22">
        <v>32.99</v>
      </c>
      <c r="E223" s="22">
        <v>32.99</v>
      </c>
      <c r="F223" s="17" t="s">
        <v>3794</v>
      </c>
      <c r="G223" s="16" t="s">
        <v>26</v>
      </c>
      <c r="H223" s="21" t="s">
        <v>32</v>
      </c>
      <c r="I223" s="16" t="s">
        <v>11</v>
      </c>
      <c r="J223" s="16" t="s">
        <v>266</v>
      </c>
      <c r="K223" s="16" t="s">
        <v>267</v>
      </c>
      <c r="L223" s="16"/>
      <c r="M223" s="16"/>
      <c r="N223" s="23" t="str">
        <f>HYPERLINK("http://slimages.macys.com/is/image/MCY/19762069 ")</f>
        <v xml:space="preserve">http://slimages.macys.com/is/image/MCY/19762069 </v>
      </c>
    </row>
    <row r="224" spans="1:14" x14ac:dyDescent="0.25">
      <c r="A224" s="21" t="s">
        <v>3346</v>
      </c>
      <c r="B224" s="16" t="s">
        <v>3347</v>
      </c>
      <c r="C224" s="17">
        <v>11</v>
      </c>
      <c r="D224" s="22">
        <v>40.99</v>
      </c>
      <c r="E224" s="22">
        <v>450.89</v>
      </c>
      <c r="F224" s="17" t="s">
        <v>3343</v>
      </c>
      <c r="G224" s="16" t="s">
        <v>86</v>
      </c>
      <c r="H224" s="21" t="s">
        <v>149</v>
      </c>
      <c r="I224" s="16" t="s">
        <v>11</v>
      </c>
      <c r="J224" s="16" t="s">
        <v>266</v>
      </c>
      <c r="K224" s="16" t="s">
        <v>267</v>
      </c>
      <c r="L224" s="16"/>
      <c r="M224" s="16"/>
      <c r="N224" s="23" t="str">
        <f>HYPERLINK("http://slimages.macys.com/is/image/MCY/20226828 ")</f>
        <v xml:space="preserve">http://slimages.macys.com/is/image/MCY/20226828 </v>
      </c>
    </row>
    <row r="225" spans="1:14" x14ac:dyDescent="0.25">
      <c r="A225" s="21" t="s">
        <v>3344</v>
      </c>
      <c r="B225" s="16" t="s">
        <v>3345</v>
      </c>
      <c r="C225" s="17">
        <v>12</v>
      </c>
      <c r="D225" s="22">
        <v>40.99</v>
      </c>
      <c r="E225" s="22">
        <v>491.88</v>
      </c>
      <c r="F225" s="17" t="s">
        <v>3343</v>
      </c>
      <c r="G225" s="16" t="s">
        <v>86</v>
      </c>
      <c r="H225" s="21" t="s">
        <v>286</v>
      </c>
      <c r="I225" s="16" t="s">
        <v>11</v>
      </c>
      <c r="J225" s="16" t="s">
        <v>266</v>
      </c>
      <c r="K225" s="16" t="s">
        <v>267</v>
      </c>
      <c r="L225" s="16"/>
      <c r="M225" s="16"/>
      <c r="N225" s="23" t="str">
        <f>HYPERLINK("http://slimages.macys.com/is/image/MCY/20226828 ")</f>
        <v xml:space="preserve">http://slimages.macys.com/is/image/MCY/20226828 </v>
      </c>
    </row>
    <row r="226" spans="1:14" x14ac:dyDescent="0.25">
      <c r="A226" s="21" t="s">
        <v>3341</v>
      </c>
      <c r="B226" s="16" t="s">
        <v>3342</v>
      </c>
      <c r="C226" s="17">
        <v>8</v>
      </c>
      <c r="D226" s="22">
        <v>40.99</v>
      </c>
      <c r="E226" s="22">
        <v>327.92</v>
      </c>
      <c r="F226" s="17" t="s">
        <v>3343</v>
      </c>
      <c r="G226" s="16" t="s">
        <v>86</v>
      </c>
      <c r="H226" s="21" t="s">
        <v>158</v>
      </c>
      <c r="I226" s="16" t="s">
        <v>11</v>
      </c>
      <c r="J226" s="16" t="s">
        <v>266</v>
      </c>
      <c r="K226" s="16" t="s">
        <v>267</v>
      </c>
      <c r="L226" s="16"/>
      <c r="M226" s="16"/>
      <c r="N226" s="23" t="str">
        <f>HYPERLINK("http://slimages.macys.com/is/image/MCY/20226828 ")</f>
        <v xml:space="preserve">http://slimages.macys.com/is/image/MCY/20226828 </v>
      </c>
    </row>
    <row r="227" spans="1:14" x14ac:dyDescent="0.25">
      <c r="A227" s="21" t="s">
        <v>3603</v>
      </c>
      <c r="B227" s="16" t="s">
        <v>3604</v>
      </c>
      <c r="C227" s="17">
        <v>6</v>
      </c>
      <c r="D227" s="22">
        <v>40.99</v>
      </c>
      <c r="E227" s="22">
        <v>245.94</v>
      </c>
      <c r="F227" s="17" t="s">
        <v>2359</v>
      </c>
      <c r="G227" s="16" t="s">
        <v>86</v>
      </c>
      <c r="H227" s="21" t="s">
        <v>32</v>
      </c>
      <c r="I227" s="16" t="s">
        <v>11</v>
      </c>
      <c r="J227" s="16" t="s">
        <v>266</v>
      </c>
      <c r="K227" s="16" t="s">
        <v>267</v>
      </c>
      <c r="L227" s="16"/>
      <c r="M227" s="16"/>
      <c r="N227" s="23" t="str">
        <f>HYPERLINK("http://slimages.macys.com/is/image/MCY/20226765 ")</f>
        <v xml:space="preserve">http://slimages.macys.com/is/image/MCY/20226765 </v>
      </c>
    </row>
    <row r="228" spans="1:14" x14ac:dyDescent="0.25">
      <c r="A228" s="21" t="s">
        <v>3352</v>
      </c>
      <c r="B228" s="16" t="s">
        <v>3353</v>
      </c>
      <c r="C228" s="17">
        <v>9</v>
      </c>
      <c r="D228" s="22">
        <v>40.99</v>
      </c>
      <c r="E228" s="22">
        <v>368.91</v>
      </c>
      <c r="F228" s="17" t="s">
        <v>2359</v>
      </c>
      <c r="G228" s="16" t="s">
        <v>86</v>
      </c>
      <c r="H228" s="21" t="s">
        <v>40</v>
      </c>
      <c r="I228" s="16" t="s">
        <v>11</v>
      </c>
      <c r="J228" s="16" t="s">
        <v>266</v>
      </c>
      <c r="K228" s="16" t="s">
        <v>267</v>
      </c>
      <c r="L228" s="16"/>
      <c r="M228" s="16"/>
      <c r="N228" s="23" t="str">
        <f>HYPERLINK("http://slimages.macys.com/is/image/MCY/1043894 ")</f>
        <v xml:space="preserve">http://slimages.macys.com/is/image/MCY/1043894 </v>
      </c>
    </row>
    <row r="229" spans="1:14" x14ac:dyDescent="0.25">
      <c r="A229" s="21" t="s">
        <v>3601</v>
      </c>
      <c r="B229" s="16" t="s">
        <v>3602</v>
      </c>
      <c r="C229" s="17">
        <v>5</v>
      </c>
      <c r="D229" s="22">
        <v>40.99</v>
      </c>
      <c r="E229" s="22">
        <v>204.95</v>
      </c>
      <c r="F229" s="17" t="s">
        <v>2359</v>
      </c>
      <c r="G229" s="16" t="s">
        <v>86</v>
      </c>
      <c r="H229" s="21" t="s">
        <v>55</v>
      </c>
      <c r="I229" s="16" t="s">
        <v>11</v>
      </c>
      <c r="J229" s="16" t="s">
        <v>266</v>
      </c>
      <c r="K229" s="16" t="s">
        <v>267</v>
      </c>
      <c r="L229" s="16"/>
      <c r="M229" s="16"/>
      <c r="N229" s="23" t="str">
        <f>HYPERLINK("http://slimages.macys.com/is/image/MCY/1043894 ")</f>
        <v xml:space="preserve">http://slimages.macys.com/is/image/MCY/1043894 </v>
      </c>
    </row>
    <row r="230" spans="1:14" x14ac:dyDescent="0.25">
      <c r="A230" s="21" t="s">
        <v>3348</v>
      </c>
      <c r="B230" s="16" t="s">
        <v>3349</v>
      </c>
      <c r="C230" s="17">
        <v>4</v>
      </c>
      <c r="D230" s="22">
        <v>40.99</v>
      </c>
      <c r="E230" s="22">
        <v>163.96</v>
      </c>
      <c r="F230" s="17" t="s">
        <v>2359</v>
      </c>
      <c r="G230" s="16" t="s">
        <v>86</v>
      </c>
      <c r="H230" s="21" t="s">
        <v>27</v>
      </c>
      <c r="I230" s="16" t="s">
        <v>11</v>
      </c>
      <c r="J230" s="16" t="s">
        <v>266</v>
      </c>
      <c r="K230" s="16" t="s">
        <v>267</v>
      </c>
      <c r="L230" s="16"/>
      <c r="M230" s="16"/>
      <c r="N230" s="23" t="str">
        <f>HYPERLINK("http://slimages.macys.com/is/image/MCY/20226828 ")</f>
        <v xml:space="preserve">http://slimages.macys.com/is/image/MCY/20226828 </v>
      </c>
    </row>
    <row r="231" spans="1:14" x14ac:dyDescent="0.25">
      <c r="A231" s="21" t="s">
        <v>3605</v>
      </c>
      <c r="B231" s="16" t="s">
        <v>3606</v>
      </c>
      <c r="C231" s="17">
        <v>6</v>
      </c>
      <c r="D231" s="22">
        <v>40.99</v>
      </c>
      <c r="E231" s="22">
        <v>245.94</v>
      </c>
      <c r="F231" s="17" t="s">
        <v>2359</v>
      </c>
      <c r="G231" s="16" t="s">
        <v>86</v>
      </c>
      <c r="H231" s="21" t="s">
        <v>47</v>
      </c>
      <c r="I231" s="16" t="s">
        <v>11</v>
      </c>
      <c r="J231" s="16" t="s">
        <v>266</v>
      </c>
      <c r="K231" s="16" t="s">
        <v>267</v>
      </c>
      <c r="L231" s="16"/>
      <c r="M231" s="16"/>
      <c r="N231" s="23" t="str">
        <f>HYPERLINK("http://slimages.macys.com/is/image/MCY/1043894 ")</f>
        <v xml:space="preserve">http://slimages.macys.com/is/image/MCY/1043894 </v>
      </c>
    </row>
    <row r="232" spans="1:14" x14ac:dyDescent="0.25">
      <c r="A232" s="21" t="s">
        <v>3350</v>
      </c>
      <c r="B232" s="16" t="s">
        <v>3351</v>
      </c>
      <c r="C232" s="17">
        <v>9</v>
      </c>
      <c r="D232" s="22">
        <v>40.99</v>
      </c>
      <c r="E232" s="22">
        <v>368.91</v>
      </c>
      <c r="F232" s="17" t="s">
        <v>2359</v>
      </c>
      <c r="G232" s="16" t="s">
        <v>86</v>
      </c>
      <c r="H232" s="21" t="s">
        <v>87</v>
      </c>
      <c r="I232" s="16" t="s">
        <v>11</v>
      </c>
      <c r="J232" s="16" t="s">
        <v>266</v>
      </c>
      <c r="K232" s="16" t="s">
        <v>267</v>
      </c>
      <c r="L232" s="16"/>
      <c r="M232" s="16"/>
      <c r="N232" s="23" t="str">
        <f>HYPERLINK("http://slimages.macys.com/is/image/MCY/20226765 ")</f>
        <v xml:space="preserve">http://slimages.macys.com/is/image/MCY/20226765 </v>
      </c>
    </row>
    <row r="233" spans="1:14" x14ac:dyDescent="0.25">
      <c r="A233" s="21" t="s">
        <v>4546</v>
      </c>
      <c r="B233" s="16" t="s">
        <v>4547</v>
      </c>
      <c r="C233" s="17">
        <v>1</v>
      </c>
      <c r="D233" s="22">
        <v>40.99</v>
      </c>
      <c r="E233" s="22">
        <v>40.99</v>
      </c>
      <c r="F233" s="17" t="s">
        <v>3343</v>
      </c>
      <c r="G233" s="16" t="s">
        <v>78</v>
      </c>
      <c r="H233" s="21" t="s">
        <v>158</v>
      </c>
      <c r="I233" s="16" t="s">
        <v>11</v>
      </c>
      <c r="J233" s="16" t="s">
        <v>266</v>
      </c>
      <c r="K233" s="16" t="s">
        <v>267</v>
      </c>
      <c r="L233" s="16"/>
      <c r="M233" s="16"/>
      <c r="N233" s="23" t="str">
        <f>HYPERLINK("http://slimages.macys.com/is/image/MCY/20226828 ")</f>
        <v xml:space="preserve">http://slimages.macys.com/is/image/MCY/20226828 </v>
      </c>
    </row>
    <row r="234" spans="1:14" x14ac:dyDescent="0.25">
      <c r="A234" s="21" t="s">
        <v>3968</v>
      </c>
      <c r="B234" s="16" t="s">
        <v>3969</v>
      </c>
      <c r="C234" s="17">
        <v>1</v>
      </c>
      <c r="D234" s="22">
        <v>37.99</v>
      </c>
      <c r="E234" s="22">
        <v>37.99</v>
      </c>
      <c r="F234" s="17" t="s">
        <v>3356</v>
      </c>
      <c r="G234" s="16" t="s">
        <v>189</v>
      </c>
      <c r="H234" s="21" t="s">
        <v>32</v>
      </c>
      <c r="I234" s="16" t="s">
        <v>11</v>
      </c>
      <c r="J234" s="16" t="s">
        <v>266</v>
      </c>
      <c r="K234" s="16" t="s">
        <v>267</v>
      </c>
      <c r="L234" s="16"/>
      <c r="M234" s="16"/>
      <c r="N234" s="23" t="str">
        <f>HYPERLINK("http://slimages.macys.com/is/image/MCY/1043885 ")</f>
        <v xml:space="preserve">http://slimages.macys.com/is/image/MCY/1043885 </v>
      </c>
    </row>
    <row r="235" spans="1:14" x14ac:dyDescent="0.25">
      <c r="A235" s="21" t="s">
        <v>3790</v>
      </c>
      <c r="B235" s="16" t="s">
        <v>3791</v>
      </c>
      <c r="C235" s="17">
        <v>3</v>
      </c>
      <c r="D235" s="22">
        <v>37.99</v>
      </c>
      <c r="E235" s="22">
        <v>113.97</v>
      </c>
      <c r="F235" s="17" t="s">
        <v>3356</v>
      </c>
      <c r="G235" s="16" t="s">
        <v>189</v>
      </c>
      <c r="H235" s="21" t="s">
        <v>40</v>
      </c>
      <c r="I235" s="16" t="s">
        <v>11</v>
      </c>
      <c r="J235" s="16" t="s">
        <v>266</v>
      </c>
      <c r="K235" s="16" t="s">
        <v>267</v>
      </c>
      <c r="L235" s="16"/>
      <c r="M235" s="16"/>
      <c r="N235" s="23" t="str">
        <f>HYPERLINK("http://slimages.macys.com/is/image/MCY/1043889 ")</f>
        <v xml:space="preserve">http://slimages.macys.com/is/image/MCY/1043889 </v>
      </c>
    </row>
    <row r="236" spans="1:14" x14ac:dyDescent="0.25">
      <c r="A236" s="21" t="s">
        <v>4417</v>
      </c>
      <c r="B236" s="16" t="s">
        <v>4418</v>
      </c>
      <c r="C236" s="17">
        <v>2</v>
      </c>
      <c r="D236" s="22">
        <v>37.99</v>
      </c>
      <c r="E236" s="22">
        <v>75.98</v>
      </c>
      <c r="F236" s="17" t="s">
        <v>3356</v>
      </c>
      <c r="G236" s="16" t="s">
        <v>189</v>
      </c>
      <c r="H236" s="21" t="s">
        <v>55</v>
      </c>
      <c r="I236" s="16" t="s">
        <v>11</v>
      </c>
      <c r="J236" s="16" t="s">
        <v>266</v>
      </c>
      <c r="K236" s="16" t="s">
        <v>267</v>
      </c>
      <c r="L236" s="16"/>
      <c r="M236" s="16"/>
      <c r="N236" s="23" t="str">
        <f>HYPERLINK("http://slimages.macys.com/is/image/MCY/1043889 ")</f>
        <v xml:space="preserve">http://slimages.macys.com/is/image/MCY/1043889 </v>
      </c>
    </row>
    <row r="237" spans="1:14" x14ac:dyDescent="0.25">
      <c r="A237" s="21" t="s">
        <v>3354</v>
      </c>
      <c r="B237" s="16" t="s">
        <v>3355</v>
      </c>
      <c r="C237" s="17">
        <v>2</v>
      </c>
      <c r="D237" s="22">
        <v>37.99</v>
      </c>
      <c r="E237" s="22">
        <v>75.98</v>
      </c>
      <c r="F237" s="17" t="s">
        <v>3356</v>
      </c>
      <c r="G237" s="16" t="s">
        <v>189</v>
      </c>
      <c r="H237" s="21" t="s">
        <v>27</v>
      </c>
      <c r="I237" s="16" t="s">
        <v>11</v>
      </c>
      <c r="J237" s="16" t="s">
        <v>266</v>
      </c>
      <c r="K237" s="16" t="s">
        <v>267</v>
      </c>
      <c r="L237" s="16"/>
      <c r="M237" s="16"/>
      <c r="N237" s="23" t="str">
        <f>HYPERLINK("http://slimages.macys.com/is/image/MCY/1043885 ")</f>
        <v xml:space="preserve">http://slimages.macys.com/is/image/MCY/1043885 </v>
      </c>
    </row>
    <row r="238" spans="1:14" x14ac:dyDescent="0.25">
      <c r="A238" s="21" t="s">
        <v>3929</v>
      </c>
      <c r="B238" s="16" t="s">
        <v>3930</v>
      </c>
      <c r="C238" s="17">
        <v>2</v>
      </c>
      <c r="D238" s="22">
        <v>37.99</v>
      </c>
      <c r="E238" s="22">
        <v>75.98</v>
      </c>
      <c r="F238" s="17" t="s">
        <v>3356</v>
      </c>
      <c r="G238" s="16" t="s">
        <v>189</v>
      </c>
      <c r="H238" s="21" t="s">
        <v>47</v>
      </c>
      <c r="I238" s="16" t="s">
        <v>11</v>
      </c>
      <c r="J238" s="16" t="s">
        <v>266</v>
      </c>
      <c r="K238" s="16" t="s">
        <v>267</v>
      </c>
      <c r="L238" s="16"/>
      <c r="M238" s="16"/>
      <c r="N238" s="23" t="str">
        <f>HYPERLINK("http://slimages.macys.com/is/image/MCY/1043889 ")</f>
        <v xml:space="preserve">http://slimages.macys.com/is/image/MCY/1043889 </v>
      </c>
    </row>
    <row r="239" spans="1:14" x14ac:dyDescent="0.25">
      <c r="A239" s="21" t="s">
        <v>3788</v>
      </c>
      <c r="B239" s="16" t="s">
        <v>3789</v>
      </c>
      <c r="C239" s="17">
        <v>2</v>
      </c>
      <c r="D239" s="22">
        <v>37.99</v>
      </c>
      <c r="E239" s="22">
        <v>75.98</v>
      </c>
      <c r="F239" s="17" t="s">
        <v>3356</v>
      </c>
      <c r="G239" s="16" t="s">
        <v>122</v>
      </c>
      <c r="H239" s="21" t="s">
        <v>32</v>
      </c>
      <c r="I239" s="16" t="s">
        <v>11</v>
      </c>
      <c r="J239" s="16" t="s">
        <v>266</v>
      </c>
      <c r="K239" s="16" t="s">
        <v>267</v>
      </c>
      <c r="L239" s="16"/>
      <c r="M239" s="16"/>
      <c r="N239" s="23" t="str">
        <f>HYPERLINK("http://slimages.macys.com/is/image/MCY/1043887 ")</f>
        <v xml:space="preserve">http://slimages.macys.com/is/image/MCY/1043887 </v>
      </c>
    </row>
    <row r="240" spans="1:14" x14ac:dyDescent="0.25">
      <c r="A240" s="21" t="s">
        <v>3664</v>
      </c>
      <c r="B240" s="16" t="s">
        <v>3665</v>
      </c>
      <c r="C240" s="17">
        <v>5</v>
      </c>
      <c r="D240" s="22">
        <v>37.99</v>
      </c>
      <c r="E240" s="22">
        <v>189.95</v>
      </c>
      <c r="F240" s="17" t="s">
        <v>3356</v>
      </c>
      <c r="G240" s="16" t="s">
        <v>122</v>
      </c>
      <c r="H240" s="21" t="s">
        <v>40</v>
      </c>
      <c r="I240" s="16" t="s">
        <v>11</v>
      </c>
      <c r="J240" s="16" t="s">
        <v>266</v>
      </c>
      <c r="K240" s="16" t="s">
        <v>267</v>
      </c>
      <c r="L240" s="16"/>
      <c r="M240" s="16"/>
      <c r="N240" s="23" t="str">
        <f>HYPERLINK("http://slimages.macys.com/is/image/MCY/1043887 ")</f>
        <v xml:space="preserve">http://slimages.macys.com/is/image/MCY/1043887 </v>
      </c>
    </row>
    <row r="241" spans="1:14" x14ac:dyDescent="0.25">
      <c r="A241" s="21" t="s">
        <v>3830</v>
      </c>
      <c r="B241" s="16" t="s">
        <v>3831</v>
      </c>
      <c r="C241" s="17">
        <v>2</v>
      </c>
      <c r="D241" s="22">
        <v>37.99</v>
      </c>
      <c r="E241" s="22">
        <v>75.98</v>
      </c>
      <c r="F241" s="17" t="s">
        <v>3356</v>
      </c>
      <c r="G241" s="16" t="s">
        <v>122</v>
      </c>
      <c r="H241" s="21" t="s">
        <v>55</v>
      </c>
      <c r="I241" s="16" t="s">
        <v>11</v>
      </c>
      <c r="J241" s="16" t="s">
        <v>266</v>
      </c>
      <c r="K241" s="16" t="s">
        <v>267</v>
      </c>
      <c r="L241" s="16"/>
      <c r="M241" s="16"/>
      <c r="N241" s="23" t="str">
        <f>HYPERLINK("http://slimages.macys.com/is/image/MCY/1043887 ")</f>
        <v xml:space="preserve">http://slimages.macys.com/is/image/MCY/1043887 </v>
      </c>
    </row>
    <row r="242" spans="1:14" x14ac:dyDescent="0.25">
      <c r="A242" s="21" t="s">
        <v>4551</v>
      </c>
      <c r="B242" s="16" t="s">
        <v>4552</v>
      </c>
      <c r="C242" s="17">
        <v>1</v>
      </c>
      <c r="D242" s="22">
        <v>37.99</v>
      </c>
      <c r="E242" s="22">
        <v>37.99</v>
      </c>
      <c r="F242" s="17" t="s">
        <v>3356</v>
      </c>
      <c r="G242" s="16" t="s">
        <v>122</v>
      </c>
      <c r="H242" s="21" t="s">
        <v>27</v>
      </c>
      <c r="I242" s="16" t="s">
        <v>11</v>
      </c>
      <c r="J242" s="16" t="s">
        <v>266</v>
      </c>
      <c r="K242" s="16" t="s">
        <v>267</v>
      </c>
      <c r="L242" s="16"/>
      <c r="M242" s="16"/>
      <c r="N242" s="23" t="str">
        <f>HYPERLINK("http://slimages.macys.com/is/image/MCY/1043889 ")</f>
        <v xml:space="preserve">http://slimages.macys.com/is/image/MCY/1043889 </v>
      </c>
    </row>
    <row r="243" spans="1:14" x14ac:dyDescent="0.25">
      <c r="A243" s="21" t="s">
        <v>4553</v>
      </c>
      <c r="B243" s="16" t="s">
        <v>4554</v>
      </c>
      <c r="C243" s="17">
        <v>2</v>
      </c>
      <c r="D243" s="22">
        <v>37.99</v>
      </c>
      <c r="E243" s="22">
        <v>75.98</v>
      </c>
      <c r="F243" s="17" t="s">
        <v>3356</v>
      </c>
      <c r="G243" s="16" t="s">
        <v>122</v>
      </c>
      <c r="H243" s="21" t="s">
        <v>47</v>
      </c>
      <c r="I243" s="16" t="s">
        <v>11</v>
      </c>
      <c r="J243" s="16" t="s">
        <v>266</v>
      </c>
      <c r="K243" s="16" t="s">
        <v>267</v>
      </c>
      <c r="L243" s="16"/>
      <c r="M243" s="16"/>
      <c r="N243" s="23" t="str">
        <f>HYPERLINK("http://slimages.macys.com/is/image/MCY/1043887 ")</f>
        <v xml:space="preserve">http://slimages.macys.com/is/image/MCY/1043887 </v>
      </c>
    </row>
    <row r="244" spans="1:14" x14ac:dyDescent="0.25">
      <c r="A244" s="21" t="s">
        <v>3876</v>
      </c>
      <c r="B244" s="16" t="s">
        <v>3877</v>
      </c>
      <c r="C244" s="17">
        <v>2</v>
      </c>
      <c r="D244" s="22">
        <v>37.99</v>
      </c>
      <c r="E244" s="22">
        <v>75.98</v>
      </c>
      <c r="F244" s="17" t="s">
        <v>3356</v>
      </c>
      <c r="G244" s="16" t="s">
        <v>122</v>
      </c>
      <c r="H244" s="21" t="s">
        <v>87</v>
      </c>
      <c r="I244" s="16" t="s">
        <v>11</v>
      </c>
      <c r="J244" s="16" t="s">
        <v>266</v>
      </c>
      <c r="K244" s="16" t="s">
        <v>267</v>
      </c>
      <c r="L244" s="16"/>
      <c r="M244" s="16"/>
      <c r="N244" s="23" t="str">
        <f>HYPERLINK("http://slimages.macys.com/is/image/MCY/1043889 ")</f>
        <v xml:space="preserve">http://slimages.macys.com/is/image/MCY/1043889 </v>
      </c>
    </row>
    <row r="245" spans="1:14" x14ac:dyDescent="0.25">
      <c r="A245" s="21" t="s">
        <v>997</v>
      </c>
      <c r="B245" s="16" t="s">
        <v>998</v>
      </c>
      <c r="C245" s="17">
        <v>1</v>
      </c>
      <c r="D245" s="22">
        <v>23.99</v>
      </c>
      <c r="E245" s="22">
        <v>23.99</v>
      </c>
      <c r="F245" s="17" t="s">
        <v>999</v>
      </c>
      <c r="G245" s="16" t="s">
        <v>31</v>
      </c>
      <c r="H245" s="21" t="s">
        <v>40</v>
      </c>
      <c r="I245" s="16" t="s">
        <v>11</v>
      </c>
      <c r="J245" s="16" t="s">
        <v>266</v>
      </c>
      <c r="K245" s="16" t="s">
        <v>267</v>
      </c>
      <c r="L245" s="16"/>
      <c r="M245" s="16"/>
      <c r="N245" s="23" t="str">
        <f>HYPERLINK("http://slimages.macys.com/is/image/MCY/18531891 ")</f>
        <v xml:space="preserve">http://slimages.macys.com/is/image/MCY/18531891 </v>
      </c>
    </row>
    <row r="246" spans="1:14" x14ac:dyDescent="0.25">
      <c r="A246" s="21" t="s">
        <v>754</v>
      </c>
      <c r="B246" s="16" t="s">
        <v>755</v>
      </c>
      <c r="C246" s="17">
        <v>3</v>
      </c>
      <c r="D246" s="22">
        <v>16.989999999999998</v>
      </c>
      <c r="E246" s="22">
        <v>50.97</v>
      </c>
      <c r="F246" s="17" t="s">
        <v>328</v>
      </c>
      <c r="G246" s="16" t="s">
        <v>202</v>
      </c>
      <c r="H246" s="21" t="s">
        <v>40</v>
      </c>
      <c r="I246" s="16" t="s">
        <v>11</v>
      </c>
      <c r="J246" s="16" t="s">
        <v>266</v>
      </c>
      <c r="K246" s="16" t="s">
        <v>267</v>
      </c>
      <c r="L246" s="16"/>
      <c r="M246" s="16"/>
      <c r="N246" s="23" t="str">
        <f t="shared" ref="N246:N256" si="2">HYPERLINK("http://slimages.macys.com/is/image/MCY/19638875 ")</f>
        <v xml:space="preserve">http://slimages.macys.com/is/image/MCY/19638875 </v>
      </c>
    </row>
    <row r="247" spans="1:14" x14ac:dyDescent="0.25">
      <c r="A247" s="21" t="s">
        <v>2462</v>
      </c>
      <c r="B247" s="16" t="s">
        <v>2463</v>
      </c>
      <c r="C247" s="17">
        <v>2</v>
      </c>
      <c r="D247" s="22">
        <v>26.11</v>
      </c>
      <c r="E247" s="22">
        <v>52.22</v>
      </c>
      <c r="F247" s="17" t="s">
        <v>328</v>
      </c>
      <c r="G247" s="16" t="s">
        <v>202</v>
      </c>
      <c r="H247" s="21" t="s">
        <v>55</v>
      </c>
      <c r="I247" s="16" t="s">
        <v>11</v>
      </c>
      <c r="J247" s="16" t="s">
        <v>266</v>
      </c>
      <c r="K247" s="16" t="s">
        <v>267</v>
      </c>
      <c r="L247" s="16"/>
      <c r="M247" s="16"/>
      <c r="N247" s="23" t="str">
        <f t="shared" si="2"/>
        <v xml:space="preserve">http://slimages.macys.com/is/image/MCY/19638875 </v>
      </c>
    </row>
    <row r="248" spans="1:14" x14ac:dyDescent="0.25">
      <c r="A248" s="21" t="s">
        <v>329</v>
      </c>
      <c r="B248" s="16" t="s">
        <v>330</v>
      </c>
      <c r="C248" s="17">
        <v>1</v>
      </c>
      <c r="D248" s="22">
        <v>16.989999999999998</v>
      </c>
      <c r="E248" s="22">
        <v>16.989999999999998</v>
      </c>
      <c r="F248" s="17" t="s">
        <v>328</v>
      </c>
      <c r="G248" s="16" t="s">
        <v>202</v>
      </c>
      <c r="H248" s="21" t="s">
        <v>27</v>
      </c>
      <c r="I248" s="16" t="s">
        <v>11</v>
      </c>
      <c r="J248" s="16" t="s">
        <v>266</v>
      </c>
      <c r="K248" s="16" t="s">
        <v>267</v>
      </c>
      <c r="L248" s="16"/>
      <c r="M248" s="16"/>
      <c r="N248" s="23" t="str">
        <f t="shared" si="2"/>
        <v xml:space="preserve">http://slimages.macys.com/is/image/MCY/19638875 </v>
      </c>
    </row>
    <row r="249" spans="1:14" x14ac:dyDescent="0.25">
      <c r="A249" s="21" t="s">
        <v>1812</v>
      </c>
      <c r="B249" s="16" t="s">
        <v>1813</v>
      </c>
      <c r="C249" s="17">
        <v>1</v>
      </c>
      <c r="D249" s="22">
        <v>16.989999999999998</v>
      </c>
      <c r="E249" s="22">
        <v>16.989999999999998</v>
      </c>
      <c r="F249" s="17" t="s">
        <v>328</v>
      </c>
      <c r="G249" s="16" t="s">
        <v>202</v>
      </c>
      <c r="H249" s="21" t="s">
        <v>87</v>
      </c>
      <c r="I249" s="16" t="s">
        <v>11</v>
      </c>
      <c r="J249" s="16" t="s">
        <v>266</v>
      </c>
      <c r="K249" s="16" t="s">
        <v>267</v>
      </c>
      <c r="L249" s="16"/>
      <c r="M249" s="16"/>
      <c r="N249" s="23" t="str">
        <f t="shared" si="2"/>
        <v xml:space="preserve">http://slimages.macys.com/is/image/MCY/19638875 </v>
      </c>
    </row>
    <row r="250" spans="1:14" x14ac:dyDescent="0.25">
      <c r="A250" s="21" t="s">
        <v>1237</v>
      </c>
      <c r="B250" s="16" t="s">
        <v>1238</v>
      </c>
      <c r="C250" s="17">
        <v>1</v>
      </c>
      <c r="D250" s="22">
        <v>16.989999999999998</v>
      </c>
      <c r="E250" s="22">
        <v>16.989999999999998</v>
      </c>
      <c r="F250" s="17" t="s">
        <v>328</v>
      </c>
      <c r="G250" s="16" t="s">
        <v>82</v>
      </c>
      <c r="H250" s="21" t="s">
        <v>40</v>
      </c>
      <c r="I250" s="16" t="s">
        <v>11</v>
      </c>
      <c r="J250" s="16" t="s">
        <v>266</v>
      </c>
      <c r="K250" s="16" t="s">
        <v>267</v>
      </c>
      <c r="L250" s="16"/>
      <c r="M250" s="16"/>
      <c r="N250" s="23" t="str">
        <f t="shared" si="2"/>
        <v xml:space="preserve">http://slimages.macys.com/is/image/MCY/19638875 </v>
      </c>
    </row>
    <row r="251" spans="1:14" x14ac:dyDescent="0.25">
      <c r="A251" s="21" t="s">
        <v>4582</v>
      </c>
      <c r="B251" s="16" t="s">
        <v>4583</v>
      </c>
      <c r="C251" s="17">
        <v>1</v>
      </c>
      <c r="D251" s="22">
        <v>16.989999999999998</v>
      </c>
      <c r="E251" s="22">
        <v>16.989999999999998</v>
      </c>
      <c r="F251" s="17" t="s">
        <v>328</v>
      </c>
      <c r="G251" s="16" t="s">
        <v>82</v>
      </c>
      <c r="H251" s="21" t="s">
        <v>27</v>
      </c>
      <c r="I251" s="16" t="s">
        <v>11</v>
      </c>
      <c r="J251" s="16" t="s">
        <v>266</v>
      </c>
      <c r="K251" s="16" t="s">
        <v>267</v>
      </c>
      <c r="L251" s="16"/>
      <c r="M251" s="16"/>
      <c r="N251" s="23" t="str">
        <f t="shared" si="2"/>
        <v xml:space="preserve">http://slimages.macys.com/is/image/MCY/19638875 </v>
      </c>
    </row>
    <row r="252" spans="1:14" x14ac:dyDescent="0.25">
      <c r="A252" s="21" t="s">
        <v>1233</v>
      </c>
      <c r="B252" s="16" t="s">
        <v>1234</v>
      </c>
      <c r="C252" s="17">
        <v>1</v>
      </c>
      <c r="D252" s="22">
        <v>16.989999999999998</v>
      </c>
      <c r="E252" s="22">
        <v>16.989999999999998</v>
      </c>
      <c r="F252" s="17" t="s">
        <v>328</v>
      </c>
      <c r="G252" s="16" t="s">
        <v>82</v>
      </c>
      <c r="H252" s="21" t="s">
        <v>47</v>
      </c>
      <c r="I252" s="16" t="s">
        <v>11</v>
      </c>
      <c r="J252" s="16" t="s">
        <v>266</v>
      </c>
      <c r="K252" s="16" t="s">
        <v>267</v>
      </c>
      <c r="L252" s="16"/>
      <c r="M252" s="16"/>
      <c r="N252" s="23" t="str">
        <f t="shared" si="2"/>
        <v xml:space="preserve">http://slimages.macys.com/is/image/MCY/19638875 </v>
      </c>
    </row>
    <row r="253" spans="1:14" x14ac:dyDescent="0.25">
      <c r="A253" s="21" t="s">
        <v>752</v>
      </c>
      <c r="B253" s="16" t="s">
        <v>753</v>
      </c>
      <c r="C253" s="17">
        <v>1</v>
      </c>
      <c r="D253" s="22">
        <v>16.989999999999998</v>
      </c>
      <c r="E253" s="22">
        <v>16.989999999999998</v>
      </c>
      <c r="F253" s="17" t="s">
        <v>328</v>
      </c>
      <c r="G253" s="16" t="s">
        <v>135</v>
      </c>
      <c r="H253" s="21" t="s">
        <v>32</v>
      </c>
      <c r="I253" s="16" t="s">
        <v>11</v>
      </c>
      <c r="J253" s="16" t="s">
        <v>266</v>
      </c>
      <c r="K253" s="16" t="s">
        <v>267</v>
      </c>
      <c r="L253" s="16"/>
      <c r="M253" s="16"/>
      <c r="N253" s="23" t="str">
        <f t="shared" si="2"/>
        <v xml:space="preserve">http://slimages.macys.com/is/image/MCY/19638875 </v>
      </c>
    </row>
    <row r="254" spans="1:14" x14ac:dyDescent="0.25">
      <c r="A254" s="21" t="s">
        <v>3937</v>
      </c>
      <c r="B254" s="16" t="s">
        <v>3938</v>
      </c>
      <c r="C254" s="17">
        <v>1</v>
      </c>
      <c r="D254" s="22">
        <v>16.989999999999998</v>
      </c>
      <c r="E254" s="22">
        <v>16.989999999999998</v>
      </c>
      <c r="F254" s="17" t="s">
        <v>325</v>
      </c>
      <c r="G254" s="16" t="s">
        <v>102</v>
      </c>
      <c r="H254" s="21" t="s">
        <v>32</v>
      </c>
      <c r="I254" s="16" t="s">
        <v>11</v>
      </c>
      <c r="J254" s="16" t="s">
        <v>266</v>
      </c>
      <c r="K254" s="16" t="s">
        <v>267</v>
      </c>
      <c r="L254" s="16"/>
      <c r="M254" s="16"/>
      <c r="N254" s="23" t="str">
        <f t="shared" si="2"/>
        <v xml:space="preserve">http://slimages.macys.com/is/image/MCY/19638875 </v>
      </c>
    </row>
    <row r="255" spans="1:14" x14ac:dyDescent="0.25">
      <c r="A255" s="21" t="s">
        <v>323</v>
      </c>
      <c r="B255" s="16" t="s">
        <v>324</v>
      </c>
      <c r="C255" s="17">
        <v>2</v>
      </c>
      <c r="D255" s="22">
        <v>16.989999999999998</v>
      </c>
      <c r="E255" s="22">
        <v>33.979999999999997</v>
      </c>
      <c r="F255" s="17" t="s">
        <v>325</v>
      </c>
      <c r="G255" s="16" t="s">
        <v>102</v>
      </c>
      <c r="H255" s="21" t="s">
        <v>40</v>
      </c>
      <c r="I255" s="16" t="s">
        <v>11</v>
      </c>
      <c r="J255" s="16" t="s">
        <v>266</v>
      </c>
      <c r="K255" s="16" t="s">
        <v>267</v>
      </c>
      <c r="L255" s="16"/>
      <c r="M255" s="16"/>
      <c r="N255" s="23" t="str">
        <f t="shared" si="2"/>
        <v xml:space="preserve">http://slimages.macys.com/is/image/MCY/19638875 </v>
      </c>
    </row>
    <row r="256" spans="1:14" x14ac:dyDescent="0.25">
      <c r="A256" s="21" t="s">
        <v>2452</v>
      </c>
      <c r="B256" s="16" t="s">
        <v>2453</v>
      </c>
      <c r="C256" s="17">
        <v>1</v>
      </c>
      <c r="D256" s="22">
        <v>16.989999999999998</v>
      </c>
      <c r="E256" s="22">
        <v>16.989999999999998</v>
      </c>
      <c r="F256" s="17" t="s">
        <v>325</v>
      </c>
      <c r="G256" s="16" t="s">
        <v>102</v>
      </c>
      <c r="H256" s="21" t="s">
        <v>87</v>
      </c>
      <c r="I256" s="16" t="s">
        <v>11</v>
      </c>
      <c r="J256" s="16" t="s">
        <v>266</v>
      </c>
      <c r="K256" s="16" t="s">
        <v>267</v>
      </c>
      <c r="L256" s="16"/>
      <c r="M256" s="16"/>
      <c r="N256" s="23" t="str">
        <f t="shared" si="2"/>
        <v xml:space="preserve">http://slimages.macys.com/is/image/MCY/19638875 </v>
      </c>
    </row>
    <row r="257" spans="1:14" x14ac:dyDescent="0.25">
      <c r="A257" s="21" t="s">
        <v>4572</v>
      </c>
      <c r="B257" s="16" t="s">
        <v>4573</v>
      </c>
      <c r="C257" s="17">
        <v>1</v>
      </c>
      <c r="D257" s="22">
        <v>14.99</v>
      </c>
      <c r="E257" s="22">
        <v>14.99</v>
      </c>
      <c r="F257" s="17" t="s">
        <v>307</v>
      </c>
      <c r="G257" s="16" t="s">
        <v>205</v>
      </c>
      <c r="H257" s="21" t="s">
        <v>55</v>
      </c>
      <c r="I257" s="16" t="s">
        <v>11</v>
      </c>
      <c r="J257" s="16" t="s">
        <v>266</v>
      </c>
      <c r="K257" s="16" t="s">
        <v>267</v>
      </c>
      <c r="L257" s="16"/>
      <c r="M257" s="16"/>
      <c r="N257" s="23" t="str">
        <f>HYPERLINK("http://slimages.macys.com/is/image/MCY/19885951 ")</f>
        <v xml:space="preserve">http://slimages.macys.com/is/image/MCY/19885951 </v>
      </c>
    </row>
    <row r="258" spans="1:14" x14ac:dyDescent="0.25">
      <c r="A258" s="21" t="s">
        <v>2353</v>
      </c>
      <c r="B258" s="16" t="s">
        <v>2354</v>
      </c>
      <c r="C258" s="17">
        <v>1</v>
      </c>
      <c r="D258" s="22">
        <v>49.99</v>
      </c>
      <c r="E258" s="22">
        <v>49.99</v>
      </c>
      <c r="F258" s="17" t="s">
        <v>1204</v>
      </c>
      <c r="G258" s="16" t="s">
        <v>31</v>
      </c>
      <c r="H258" s="21" t="s">
        <v>40</v>
      </c>
      <c r="I258" s="16" t="s">
        <v>11</v>
      </c>
      <c r="J258" s="16" t="s">
        <v>266</v>
      </c>
      <c r="K258" s="16" t="s">
        <v>267</v>
      </c>
      <c r="L258" s="16"/>
      <c r="M258" s="16"/>
      <c r="N258" s="23" t="str">
        <f>HYPERLINK("http://slimages.macys.com/is/image/MCY/20492211 ")</f>
        <v xml:space="preserve">http://slimages.macys.com/is/image/MCY/20492211 </v>
      </c>
    </row>
    <row r="259" spans="1:14" x14ac:dyDescent="0.25">
      <c r="A259" s="21" t="s">
        <v>4555</v>
      </c>
      <c r="B259" s="16" t="s">
        <v>4556</v>
      </c>
      <c r="C259" s="17">
        <v>3</v>
      </c>
      <c r="D259" s="22">
        <v>27.99</v>
      </c>
      <c r="E259" s="22">
        <v>83.97</v>
      </c>
      <c r="F259" s="17" t="s">
        <v>3359</v>
      </c>
      <c r="G259" s="16" t="s">
        <v>189</v>
      </c>
      <c r="H259" s="21" t="s">
        <v>149</v>
      </c>
      <c r="I259" s="16" t="s">
        <v>11</v>
      </c>
      <c r="J259" s="16" t="s">
        <v>266</v>
      </c>
      <c r="K259" s="16" t="s">
        <v>267</v>
      </c>
      <c r="L259" s="16"/>
      <c r="M259" s="16"/>
      <c r="N259" s="23" t="str">
        <f t="shared" ref="N259:N266" si="3">HYPERLINK("http://slimages.macys.com/is/image/MCY/20226009 ")</f>
        <v xml:space="preserve">http://slimages.macys.com/is/image/MCY/20226009 </v>
      </c>
    </row>
    <row r="260" spans="1:14" x14ac:dyDescent="0.25">
      <c r="A260" s="21" t="s">
        <v>3366</v>
      </c>
      <c r="B260" s="16" t="s">
        <v>3367</v>
      </c>
      <c r="C260" s="17">
        <v>2</v>
      </c>
      <c r="D260" s="22">
        <v>27.99</v>
      </c>
      <c r="E260" s="22">
        <v>55.98</v>
      </c>
      <c r="F260" s="17" t="s">
        <v>3359</v>
      </c>
      <c r="G260" s="16" t="s">
        <v>189</v>
      </c>
      <c r="H260" s="21" t="s">
        <v>286</v>
      </c>
      <c r="I260" s="16" t="s">
        <v>11</v>
      </c>
      <c r="J260" s="16" t="s">
        <v>266</v>
      </c>
      <c r="K260" s="16" t="s">
        <v>267</v>
      </c>
      <c r="L260" s="16"/>
      <c r="M260" s="16"/>
      <c r="N260" s="23" t="str">
        <f t="shared" si="3"/>
        <v xml:space="preserve">http://slimages.macys.com/is/image/MCY/20226009 </v>
      </c>
    </row>
    <row r="261" spans="1:14" x14ac:dyDescent="0.25">
      <c r="A261" s="21" t="s">
        <v>3362</v>
      </c>
      <c r="B261" s="16" t="s">
        <v>3363</v>
      </c>
      <c r="C261" s="17">
        <v>2</v>
      </c>
      <c r="D261" s="22">
        <v>27.99</v>
      </c>
      <c r="E261" s="22">
        <v>55.98</v>
      </c>
      <c r="F261" s="17" t="s">
        <v>3359</v>
      </c>
      <c r="G261" s="16" t="s">
        <v>189</v>
      </c>
      <c r="H261" s="21" t="s">
        <v>158</v>
      </c>
      <c r="I261" s="16" t="s">
        <v>11</v>
      </c>
      <c r="J261" s="16" t="s">
        <v>266</v>
      </c>
      <c r="K261" s="16" t="s">
        <v>267</v>
      </c>
      <c r="L261" s="16"/>
      <c r="M261" s="16"/>
      <c r="N261" s="23" t="str">
        <f t="shared" si="3"/>
        <v xml:space="preserve">http://slimages.macys.com/is/image/MCY/20226009 </v>
      </c>
    </row>
    <row r="262" spans="1:14" x14ac:dyDescent="0.25">
      <c r="A262" s="21" t="s">
        <v>3607</v>
      </c>
      <c r="B262" s="16" t="s">
        <v>3608</v>
      </c>
      <c r="C262" s="17">
        <v>4</v>
      </c>
      <c r="D262" s="22">
        <v>27.99</v>
      </c>
      <c r="E262" s="22">
        <v>111.96</v>
      </c>
      <c r="F262" s="17" t="s">
        <v>3359</v>
      </c>
      <c r="G262" s="16" t="s">
        <v>122</v>
      </c>
      <c r="H262" s="21" t="s">
        <v>149</v>
      </c>
      <c r="I262" s="16" t="s">
        <v>11</v>
      </c>
      <c r="J262" s="16" t="s">
        <v>266</v>
      </c>
      <c r="K262" s="16" t="s">
        <v>267</v>
      </c>
      <c r="L262" s="16"/>
      <c r="M262" s="16"/>
      <c r="N262" s="23" t="str">
        <f t="shared" si="3"/>
        <v xml:space="preserve">http://slimages.macys.com/is/image/MCY/20226009 </v>
      </c>
    </row>
    <row r="263" spans="1:14" x14ac:dyDescent="0.25">
      <c r="A263" s="21" t="s">
        <v>3744</v>
      </c>
      <c r="B263" s="16" t="s">
        <v>3745</v>
      </c>
      <c r="C263" s="17">
        <v>5</v>
      </c>
      <c r="D263" s="22">
        <v>27.99</v>
      </c>
      <c r="E263" s="22">
        <v>139.94999999999999</v>
      </c>
      <c r="F263" s="17" t="s">
        <v>3359</v>
      </c>
      <c r="G263" s="16" t="s">
        <v>122</v>
      </c>
      <c r="H263" s="21" t="s">
        <v>286</v>
      </c>
      <c r="I263" s="16" t="s">
        <v>11</v>
      </c>
      <c r="J263" s="16" t="s">
        <v>266</v>
      </c>
      <c r="K263" s="16" t="s">
        <v>267</v>
      </c>
      <c r="L263" s="16"/>
      <c r="M263" s="16"/>
      <c r="N263" s="23" t="str">
        <f t="shared" si="3"/>
        <v xml:space="preserve">http://slimages.macys.com/is/image/MCY/20226009 </v>
      </c>
    </row>
    <row r="264" spans="1:14" x14ac:dyDescent="0.25">
      <c r="A264" s="21" t="s">
        <v>3364</v>
      </c>
      <c r="B264" s="16" t="s">
        <v>3365</v>
      </c>
      <c r="C264" s="17">
        <v>5</v>
      </c>
      <c r="D264" s="22">
        <v>27.99</v>
      </c>
      <c r="E264" s="22">
        <v>139.94999999999999</v>
      </c>
      <c r="F264" s="17" t="s">
        <v>3359</v>
      </c>
      <c r="G264" s="16" t="s">
        <v>122</v>
      </c>
      <c r="H264" s="21" t="s">
        <v>158</v>
      </c>
      <c r="I264" s="16" t="s">
        <v>11</v>
      </c>
      <c r="J264" s="16" t="s">
        <v>266</v>
      </c>
      <c r="K264" s="16" t="s">
        <v>267</v>
      </c>
      <c r="L264" s="16"/>
      <c r="M264" s="16"/>
      <c r="N264" s="23" t="str">
        <f t="shared" si="3"/>
        <v xml:space="preserve">http://slimages.macys.com/is/image/MCY/20226009 </v>
      </c>
    </row>
    <row r="265" spans="1:14" x14ac:dyDescent="0.25">
      <c r="A265" s="21" t="s">
        <v>3357</v>
      </c>
      <c r="B265" s="16" t="s">
        <v>3358</v>
      </c>
      <c r="C265" s="17">
        <v>4</v>
      </c>
      <c r="D265" s="22">
        <v>27.99</v>
      </c>
      <c r="E265" s="22">
        <v>111.96</v>
      </c>
      <c r="F265" s="17" t="s">
        <v>3359</v>
      </c>
      <c r="G265" s="16" t="s">
        <v>205</v>
      </c>
      <c r="H265" s="21" t="s">
        <v>149</v>
      </c>
      <c r="I265" s="16" t="s">
        <v>11</v>
      </c>
      <c r="J265" s="16" t="s">
        <v>266</v>
      </c>
      <c r="K265" s="16" t="s">
        <v>267</v>
      </c>
      <c r="L265" s="16"/>
      <c r="M265" s="16"/>
      <c r="N265" s="23" t="str">
        <f t="shared" si="3"/>
        <v xml:space="preserve">http://slimages.macys.com/is/image/MCY/20226009 </v>
      </c>
    </row>
    <row r="266" spans="1:14" x14ac:dyDescent="0.25">
      <c r="A266" s="21" t="s">
        <v>3368</v>
      </c>
      <c r="B266" s="16" t="s">
        <v>3369</v>
      </c>
      <c r="C266" s="17">
        <v>2</v>
      </c>
      <c r="D266" s="22">
        <v>27.99</v>
      </c>
      <c r="E266" s="22">
        <v>55.98</v>
      </c>
      <c r="F266" s="17" t="s">
        <v>3359</v>
      </c>
      <c r="G266" s="16" t="s">
        <v>205</v>
      </c>
      <c r="H266" s="21" t="s">
        <v>286</v>
      </c>
      <c r="I266" s="16" t="s">
        <v>11</v>
      </c>
      <c r="J266" s="16" t="s">
        <v>266</v>
      </c>
      <c r="K266" s="16" t="s">
        <v>267</v>
      </c>
      <c r="L266" s="16"/>
      <c r="M266" s="16"/>
      <c r="N266" s="23" t="str">
        <f t="shared" si="3"/>
        <v xml:space="preserve">http://slimages.macys.com/is/image/MCY/20226009 </v>
      </c>
    </row>
    <row r="267" spans="1:14" x14ac:dyDescent="0.25">
      <c r="A267" s="21" t="s">
        <v>3360</v>
      </c>
      <c r="B267" s="16" t="s">
        <v>3361</v>
      </c>
      <c r="C267" s="17">
        <v>2</v>
      </c>
      <c r="D267" s="22">
        <v>27.99</v>
      </c>
      <c r="E267" s="22">
        <v>55.98</v>
      </c>
      <c r="F267" s="17" t="s">
        <v>3359</v>
      </c>
      <c r="G267" s="16" t="s">
        <v>205</v>
      </c>
      <c r="H267" s="21" t="s">
        <v>158</v>
      </c>
      <c r="I267" s="16" t="s">
        <v>11</v>
      </c>
      <c r="J267" s="16" t="s">
        <v>266</v>
      </c>
      <c r="K267" s="16" t="s">
        <v>267</v>
      </c>
      <c r="L267" s="16"/>
      <c r="M267" s="16"/>
      <c r="N267" s="23" t="str">
        <f>HYPERLINK("http://slimages.macys.com/is/image/MCY/20225986 ")</f>
        <v xml:space="preserve">http://slimages.macys.com/is/image/MCY/20225986 </v>
      </c>
    </row>
    <row r="268" spans="1:14" x14ac:dyDescent="0.25">
      <c r="A268" s="21" t="s">
        <v>1916</v>
      </c>
      <c r="B268" s="16" t="s">
        <v>1917</v>
      </c>
      <c r="C268" s="17">
        <v>1</v>
      </c>
      <c r="D268" s="22">
        <v>27.99</v>
      </c>
      <c r="E268" s="22">
        <v>27.99</v>
      </c>
      <c r="F268" s="17" t="s">
        <v>1203</v>
      </c>
      <c r="G268" s="16" t="s">
        <v>82</v>
      </c>
      <c r="H268" s="21" t="s">
        <v>32</v>
      </c>
      <c r="I268" s="16" t="s">
        <v>11</v>
      </c>
      <c r="J268" s="16" t="s">
        <v>266</v>
      </c>
      <c r="K268" s="16" t="s">
        <v>267</v>
      </c>
      <c r="L268" s="16"/>
      <c r="M268" s="16"/>
      <c r="N268" s="23" t="str">
        <f>HYPERLINK("http://slimages.macys.com/is/image/MCY/18532800 ")</f>
        <v xml:space="preserve">http://slimages.macys.com/is/image/MCY/18532800 </v>
      </c>
    </row>
    <row r="269" spans="1:14" x14ac:dyDescent="0.25">
      <c r="A269" s="21" t="s">
        <v>313</v>
      </c>
      <c r="B269" s="16" t="s">
        <v>314</v>
      </c>
      <c r="C269" s="17">
        <v>1</v>
      </c>
      <c r="D269" s="22">
        <v>17.989999999999998</v>
      </c>
      <c r="E269" s="22">
        <v>17.989999999999998</v>
      </c>
      <c r="F269" s="17" t="s">
        <v>315</v>
      </c>
      <c r="G269" s="16" t="s">
        <v>202</v>
      </c>
      <c r="H269" s="21" t="s">
        <v>55</v>
      </c>
      <c r="I269" s="16" t="s">
        <v>11</v>
      </c>
      <c r="J269" s="16" t="s">
        <v>266</v>
      </c>
      <c r="K269" s="16" t="s">
        <v>267</v>
      </c>
      <c r="L269" s="16"/>
      <c r="M269" s="16"/>
      <c r="N269" s="23" t="str">
        <f>HYPERLINK("http://slimages.macys.com/is/image/MCY/19278830 ")</f>
        <v xml:space="preserve">http://slimages.macys.com/is/image/MCY/19278830 </v>
      </c>
    </row>
    <row r="270" spans="1:14" x14ac:dyDescent="0.25">
      <c r="A270" s="21" t="s">
        <v>744</v>
      </c>
      <c r="B270" s="16" t="s">
        <v>745</v>
      </c>
      <c r="C270" s="17">
        <v>2</v>
      </c>
      <c r="D270" s="22">
        <v>17.989999999999998</v>
      </c>
      <c r="E270" s="22">
        <v>35.979999999999997</v>
      </c>
      <c r="F270" s="17" t="s">
        <v>312</v>
      </c>
      <c r="G270" s="16" t="s">
        <v>37</v>
      </c>
      <c r="H270" s="21" t="s">
        <v>47</v>
      </c>
      <c r="I270" s="16" t="s">
        <v>11</v>
      </c>
      <c r="J270" s="16" t="s">
        <v>266</v>
      </c>
      <c r="K270" s="16" t="s">
        <v>267</v>
      </c>
      <c r="L270" s="16"/>
      <c r="M270" s="16"/>
      <c r="N270" s="23" t="str">
        <f>HYPERLINK("http://slimages.macys.com/is/image/MCY/19278830 ")</f>
        <v xml:space="preserve">http://slimages.macys.com/is/image/MCY/19278830 </v>
      </c>
    </row>
    <row r="271" spans="1:14" x14ac:dyDescent="0.25">
      <c r="A271" s="21" t="s">
        <v>867</v>
      </c>
      <c r="B271" s="16" t="s">
        <v>868</v>
      </c>
      <c r="C271" s="17">
        <v>4</v>
      </c>
      <c r="D271" s="22">
        <v>5.6</v>
      </c>
      <c r="E271" s="22">
        <v>22.4</v>
      </c>
      <c r="F271" s="17">
        <v>100110139</v>
      </c>
      <c r="G271" s="16" t="s">
        <v>76</v>
      </c>
      <c r="H271" s="21" t="s">
        <v>32</v>
      </c>
      <c r="I271" s="16" t="s">
        <v>11</v>
      </c>
      <c r="J271" s="16" t="s">
        <v>457</v>
      </c>
      <c r="K271" s="16" t="s">
        <v>459</v>
      </c>
      <c r="L271" s="16"/>
      <c r="M271" s="16"/>
      <c r="N271" s="23" t="str">
        <f>HYPERLINK("http://slimages.macys.com/is/image/MCY/19787476 ")</f>
        <v xml:space="preserve">http://slimages.macys.com/is/image/MCY/19787476 </v>
      </c>
    </row>
    <row r="272" spans="1:14" x14ac:dyDescent="0.25">
      <c r="A272" s="21" t="s">
        <v>1105</v>
      </c>
      <c r="B272" s="16" t="s">
        <v>1106</v>
      </c>
      <c r="C272" s="17">
        <v>6</v>
      </c>
      <c r="D272" s="22">
        <v>5.6</v>
      </c>
      <c r="E272" s="22">
        <v>33.6</v>
      </c>
      <c r="F272" s="17">
        <v>100110139</v>
      </c>
      <c r="G272" s="16" t="s">
        <v>76</v>
      </c>
      <c r="H272" s="21" t="s">
        <v>40</v>
      </c>
      <c r="I272" s="16" t="s">
        <v>11</v>
      </c>
      <c r="J272" s="16" t="s">
        <v>457</v>
      </c>
      <c r="K272" s="16" t="s">
        <v>459</v>
      </c>
      <c r="L272" s="16"/>
      <c r="M272" s="16"/>
      <c r="N272" s="23" t="str">
        <f>HYPERLINK("http://slimages.macys.com/is/image/MCY/19787476 ")</f>
        <v xml:space="preserve">http://slimages.macys.com/is/image/MCY/19787476 </v>
      </c>
    </row>
    <row r="273" spans="1:14" x14ac:dyDescent="0.25">
      <c r="A273" s="21" t="s">
        <v>869</v>
      </c>
      <c r="B273" s="16" t="s">
        <v>870</v>
      </c>
      <c r="C273" s="17">
        <v>2</v>
      </c>
      <c r="D273" s="22">
        <v>5.6</v>
      </c>
      <c r="E273" s="22">
        <v>11.2</v>
      </c>
      <c r="F273" s="17">
        <v>100110139</v>
      </c>
      <c r="G273" s="16" t="s">
        <v>76</v>
      </c>
      <c r="H273" s="21" t="s">
        <v>55</v>
      </c>
      <c r="I273" s="16" t="s">
        <v>11</v>
      </c>
      <c r="J273" s="16" t="s">
        <v>457</v>
      </c>
      <c r="K273" s="16" t="s">
        <v>459</v>
      </c>
      <c r="L273" s="16"/>
      <c r="M273" s="16"/>
      <c r="N273" s="23" t="str">
        <f>HYPERLINK("http://slimages.macys.com/is/image/MCY/19787476 ")</f>
        <v xml:space="preserve">http://slimages.macys.com/is/image/MCY/19787476 </v>
      </c>
    </row>
    <row r="274" spans="1:14" x14ac:dyDescent="0.25">
      <c r="A274" s="21" t="s">
        <v>865</v>
      </c>
      <c r="B274" s="16" t="s">
        <v>866</v>
      </c>
      <c r="C274" s="17">
        <v>5</v>
      </c>
      <c r="D274" s="22">
        <v>5.6</v>
      </c>
      <c r="E274" s="22">
        <v>28</v>
      </c>
      <c r="F274" s="17">
        <v>100110139</v>
      </c>
      <c r="G274" s="16" t="s">
        <v>76</v>
      </c>
      <c r="H274" s="21" t="s">
        <v>27</v>
      </c>
      <c r="I274" s="16" t="s">
        <v>11</v>
      </c>
      <c r="J274" s="16" t="s">
        <v>457</v>
      </c>
      <c r="K274" s="16" t="s">
        <v>459</v>
      </c>
      <c r="L274" s="16"/>
      <c r="M274" s="16"/>
      <c r="N274" s="23" t="str">
        <f>HYPERLINK("http://slimages.macys.com/is/image/MCY/19787476 ")</f>
        <v xml:space="preserve">http://slimages.macys.com/is/image/MCY/19787476 </v>
      </c>
    </row>
    <row r="275" spans="1:14" x14ac:dyDescent="0.25">
      <c r="A275" s="21" t="s">
        <v>847</v>
      </c>
      <c r="B275" s="16" t="s">
        <v>848</v>
      </c>
      <c r="C275" s="17">
        <v>1</v>
      </c>
      <c r="D275" s="22">
        <v>5.6</v>
      </c>
      <c r="E275" s="22">
        <v>5.6</v>
      </c>
      <c r="F275" s="17">
        <v>100137426</v>
      </c>
      <c r="G275" s="16" t="s">
        <v>202</v>
      </c>
      <c r="H275" s="21"/>
      <c r="I275" s="16" t="s">
        <v>11</v>
      </c>
      <c r="J275" s="16" t="s">
        <v>457</v>
      </c>
      <c r="K275" s="16" t="s">
        <v>459</v>
      </c>
      <c r="L275" s="16"/>
      <c r="M275" s="16"/>
      <c r="N275" s="23" t="str">
        <f>HYPERLINK("http://slimages.macys.com/is/image/MCY/1040528 ")</f>
        <v xml:space="preserve">http://slimages.macys.com/is/image/MCY/1040528 </v>
      </c>
    </row>
    <row r="276" spans="1:14" x14ac:dyDescent="0.25">
      <c r="A276" s="21" t="s">
        <v>513</v>
      </c>
      <c r="B276" s="16" t="s">
        <v>514</v>
      </c>
      <c r="C276" s="17">
        <v>1</v>
      </c>
      <c r="D276" s="22">
        <v>5.6</v>
      </c>
      <c r="E276" s="22">
        <v>5.6</v>
      </c>
      <c r="F276" s="17">
        <v>100138182</v>
      </c>
      <c r="G276" s="16" t="s">
        <v>76</v>
      </c>
      <c r="H276" s="21" t="s">
        <v>27</v>
      </c>
      <c r="I276" s="16" t="s">
        <v>11</v>
      </c>
      <c r="J276" s="16" t="s">
        <v>457</v>
      </c>
      <c r="K276" s="16" t="s">
        <v>459</v>
      </c>
      <c r="L276" s="16"/>
      <c r="M276" s="16"/>
      <c r="N276" s="23" t="str">
        <f>HYPERLINK("http://slimages.macys.com/is/image/MCY/19787476 ")</f>
        <v xml:space="preserve">http://slimages.macys.com/is/image/MCY/19787476 </v>
      </c>
    </row>
    <row r="277" spans="1:14" x14ac:dyDescent="0.25">
      <c r="A277" s="21" t="s">
        <v>515</v>
      </c>
      <c r="B277" s="16" t="s">
        <v>516</v>
      </c>
      <c r="C277" s="17">
        <v>1</v>
      </c>
      <c r="D277" s="22">
        <v>5.6</v>
      </c>
      <c r="E277" s="22">
        <v>5.6</v>
      </c>
      <c r="F277" s="17">
        <v>100138182</v>
      </c>
      <c r="G277" s="16" t="s">
        <v>76</v>
      </c>
      <c r="H277" s="21"/>
      <c r="I277" s="16" t="s">
        <v>11</v>
      </c>
      <c r="J277" s="16" t="s">
        <v>457</v>
      </c>
      <c r="K277" s="16" t="s">
        <v>459</v>
      </c>
      <c r="L277" s="16"/>
      <c r="M277" s="16"/>
      <c r="N277" s="23" t="str">
        <f>HYPERLINK("http://slimages.macys.com/is/image/MCY/19787476 ")</f>
        <v xml:space="preserve">http://slimages.macys.com/is/image/MCY/19787476 </v>
      </c>
    </row>
    <row r="278" spans="1:14" x14ac:dyDescent="0.25">
      <c r="A278" s="21" t="s">
        <v>4369</v>
      </c>
      <c r="B278" s="16" t="s">
        <v>4370</v>
      </c>
      <c r="C278" s="17">
        <v>1</v>
      </c>
      <c r="D278" s="22">
        <v>3.93</v>
      </c>
      <c r="E278" s="22">
        <v>3.93</v>
      </c>
      <c r="F278" s="17">
        <v>100113279</v>
      </c>
      <c r="G278" s="16" t="s">
        <v>31</v>
      </c>
      <c r="H278" s="21"/>
      <c r="I278" s="16" t="s">
        <v>11</v>
      </c>
      <c r="J278" s="16" t="s">
        <v>457</v>
      </c>
      <c r="K278" s="16" t="s">
        <v>459</v>
      </c>
      <c r="L278" s="16"/>
      <c r="M278" s="16"/>
      <c r="N278" s="23" t="str">
        <f>HYPERLINK("http://slimages.macys.com/is/image/MCY/18058807 ")</f>
        <v xml:space="preserve">http://slimages.macys.com/is/image/MCY/18058807 </v>
      </c>
    </row>
    <row r="279" spans="1:14" x14ac:dyDescent="0.25">
      <c r="A279" s="21" t="s">
        <v>472</v>
      </c>
      <c r="B279" s="16" t="s">
        <v>473</v>
      </c>
      <c r="C279" s="17">
        <v>1</v>
      </c>
      <c r="D279" s="22">
        <v>10</v>
      </c>
      <c r="E279" s="22">
        <v>10</v>
      </c>
      <c r="F279" s="17">
        <v>100133610</v>
      </c>
      <c r="G279" s="16" t="s">
        <v>205</v>
      </c>
      <c r="H279" s="21"/>
      <c r="I279" s="16" t="s">
        <v>11</v>
      </c>
      <c r="J279" s="16" t="s">
        <v>457</v>
      </c>
      <c r="K279" s="16" t="s">
        <v>459</v>
      </c>
      <c r="L279" s="16"/>
      <c r="M279" s="16"/>
      <c r="N279" s="23" t="str">
        <f>HYPERLINK("http://slimages.macys.com/is/image/MCY/19877645 ")</f>
        <v xml:space="preserve">http://slimages.macys.com/is/image/MCY/19877645 </v>
      </c>
    </row>
    <row r="280" spans="1:14" x14ac:dyDescent="0.25">
      <c r="A280" s="21" t="s">
        <v>799</v>
      </c>
      <c r="B280" s="16" t="s">
        <v>800</v>
      </c>
      <c r="C280" s="17">
        <v>1</v>
      </c>
      <c r="D280" s="22">
        <v>10</v>
      </c>
      <c r="E280" s="22">
        <v>10</v>
      </c>
      <c r="F280" s="17">
        <v>100132111</v>
      </c>
      <c r="G280" s="16" t="s">
        <v>57</v>
      </c>
      <c r="H280" s="21" t="s">
        <v>32</v>
      </c>
      <c r="I280" s="16" t="s">
        <v>11</v>
      </c>
      <c r="J280" s="16" t="s">
        <v>457</v>
      </c>
      <c r="K280" s="16" t="s">
        <v>459</v>
      </c>
      <c r="L280" s="16"/>
      <c r="M280" s="16"/>
      <c r="N280" s="23" t="str">
        <f>HYPERLINK("http://slimages.macys.com/is/image/MCY/19278703 ")</f>
        <v xml:space="preserve">http://slimages.macys.com/is/image/MCY/19278703 </v>
      </c>
    </row>
    <row r="281" spans="1:14" x14ac:dyDescent="0.25">
      <c r="A281" s="21" t="s">
        <v>1093</v>
      </c>
      <c r="B281" s="16" t="s">
        <v>1094</v>
      </c>
      <c r="C281" s="17">
        <v>1</v>
      </c>
      <c r="D281" s="22">
        <v>5.6</v>
      </c>
      <c r="E281" s="22">
        <v>5.6</v>
      </c>
      <c r="F281" s="17">
        <v>100137441</v>
      </c>
      <c r="G281" s="16" t="s">
        <v>31</v>
      </c>
      <c r="H281" s="21" t="s">
        <v>40</v>
      </c>
      <c r="I281" s="16" t="s">
        <v>11</v>
      </c>
      <c r="J281" s="16" t="s">
        <v>457</v>
      </c>
      <c r="K281" s="16" t="s">
        <v>459</v>
      </c>
      <c r="L281" s="16"/>
      <c r="M281" s="16"/>
      <c r="N281" s="23" t="str">
        <f>HYPERLINK("http://slimages.macys.com/is/image/MCY/19877571 ")</f>
        <v xml:space="preserve">http://slimages.macys.com/is/image/MCY/19877571 </v>
      </c>
    </row>
    <row r="282" spans="1:14" x14ac:dyDescent="0.25">
      <c r="A282" s="21" t="s">
        <v>1095</v>
      </c>
      <c r="B282" s="16" t="s">
        <v>1096</v>
      </c>
      <c r="C282" s="17">
        <v>1</v>
      </c>
      <c r="D282" s="22">
        <v>5.6</v>
      </c>
      <c r="E282" s="22">
        <v>5.6</v>
      </c>
      <c r="F282" s="17">
        <v>100137441</v>
      </c>
      <c r="G282" s="16" t="s">
        <v>31</v>
      </c>
      <c r="H282" s="21" t="s">
        <v>55</v>
      </c>
      <c r="I282" s="16" t="s">
        <v>11</v>
      </c>
      <c r="J282" s="16" t="s">
        <v>457</v>
      </c>
      <c r="K282" s="16" t="s">
        <v>459</v>
      </c>
      <c r="L282" s="16"/>
      <c r="M282" s="16"/>
      <c r="N282" s="23" t="str">
        <f>HYPERLINK("http://slimages.macys.com/is/image/MCY/19877575 ")</f>
        <v xml:space="preserve">http://slimages.macys.com/is/image/MCY/19877575 </v>
      </c>
    </row>
    <row r="283" spans="1:14" x14ac:dyDescent="0.25">
      <c r="A283" s="21" t="s">
        <v>3231</v>
      </c>
      <c r="B283" s="16" t="s">
        <v>3232</v>
      </c>
      <c r="C283" s="17">
        <v>1</v>
      </c>
      <c r="D283" s="22">
        <v>22.5</v>
      </c>
      <c r="E283" s="22">
        <v>22.5</v>
      </c>
      <c r="F283" s="17">
        <v>1541</v>
      </c>
      <c r="G283" s="16" t="s">
        <v>349</v>
      </c>
      <c r="H283" s="21" t="s">
        <v>1707</v>
      </c>
      <c r="I283" s="16" t="s">
        <v>11</v>
      </c>
      <c r="J283" s="16" t="s">
        <v>412</v>
      </c>
      <c r="K283" s="16" t="s">
        <v>413</v>
      </c>
      <c r="L283" s="16" t="s">
        <v>111</v>
      </c>
      <c r="M283" s="16" t="s">
        <v>415</v>
      </c>
      <c r="N283" s="23" t="str">
        <f>HYPERLINK("http://slimages.macys.com/is/image/MCY/10530776 ")</f>
        <v xml:space="preserve">http://slimages.macys.com/is/image/MCY/10530776 </v>
      </c>
    </row>
    <row r="284" spans="1:14" x14ac:dyDescent="0.25">
      <c r="A284" s="21" t="s">
        <v>3233</v>
      </c>
      <c r="B284" s="16" t="s">
        <v>3234</v>
      </c>
      <c r="C284" s="17">
        <v>1</v>
      </c>
      <c r="D284" s="22">
        <v>22.5</v>
      </c>
      <c r="E284" s="22">
        <v>22.5</v>
      </c>
      <c r="F284" s="17">
        <v>1541</v>
      </c>
      <c r="G284" s="16" t="s">
        <v>349</v>
      </c>
      <c r="H284" s="21" t="s">
        <v>418</v>
      </c>
      <c r="I284" s="16" t="s">
        <v>11</v>
      </c>
      <c r="J284" s="16" t="s">
        <v>412</v>
      </c>
      <c r="K284" s="16" t="s">
        <v>413</v>
      </c>
      <c r="L284" s="16" t="s">
        <v>111</v>
      </c>
      <c r="M284" s="16" t="s">
        <v>415</v>
      </c>
      <c r="N284" s="23" t="str">
        <f>HYPERLINK("http://slimages.macys.com/is/image/MCY/10530776 ")</f>
        <v xml:space="preserve">http://slimages.macys.com/is/image/MCY/10530776 </v>
      </c>
    </row>
    <row r="285" spans="1:14" x14ac:dyDescent="0.25">
      <c r="A285" s="21" t="s">
        <v>4656</v>
      </c>
      <c r="B285" s="16" t="s">
        <v>4657</v>
      </c>
      <c r="C285" s="17">
        <v>1</v>
      </c>
      <c r="D285" s="22">
        <v>19.600000000000001</v>
      </c>
      <c r="E285" s="22">
        <v>19.600000000000001</v>
      </c>
      <c r="F285" s="17">
        <v>16006</v>
      </c>
      <c r="G285" s="16" t="s">
        <v>44</v>
      </c>
      <c r="H285" s="21" t="s">
        <v>414</v>
      </c>
      <c r="I285" s="16" t="s">
        <v>11</v>
      </c>
      <c r="J285" s="16" t="s">
        <v>539</v>
      </c>
      <c r="K285" s="16" t="s">
        <v>889</v>
      </c>
      <c r="L285" s="16"/>
      <c r="M285" s="16"/>
      <c r="N285" s="23" t="str">
        <f>HYPERLINK("http://slimages.macys.com/is/image/MCY/17609155 ")</f>
        <v xml:space="preserve">http://slimages.macys.com/is/image/MCY/17609155 </v>
      </c>
    </row>
    <row r="286" spans="1:14" x14ac:dyDescent="0.25">
      <c r="A286" s="21" t="s">
        <v>4650</v>
      </c>
      <c r="B286" s="16" t="s">
        <v>4651</v>
      </c>
      <c r="C286" s="17">
        <v>1</v>
      </c>
      <c r="D286" s="22">
        <v>37.799999999999997</v>
      </c>
      <c r="E286" s="22">
        <v>37.799999999999997</v>
      </c>
      <c r="F286" s="17">
        <v>16004</v>
      </c>
      <c r="G286" s="16" t="s">
        <v>201</v>
      </c>
      <c r="H286" s="21" t="s">
        <v>27</v>
      </c>
      <c r="I286" s="16" t="s">
        <v>11</v>
      </c>
      <c r="J286" s="16" t="s">
        <v>539</v>
      </c>
      <c r="K286" s="16" t="s">
        <v>889</v>
      </c>
      <c r="L286" s="16" t="s">
        <v>111</v>
      </c>
      <c r="M286" s="16" t="s">
        <v>890</v>
      </c>
      <c r="N286" s="23" t="str">
        <f>HYPERLINK("http://slimages.macys.com/is/image/MCY/16509537 ")</f>
        <v xml:space="preserve">http://slimages.macys.com/is/image/MCY/16509537 </v>
      </c>
    </row>
    <row r="287" spans="1:14" x14ac:dyDescent="0.25">
      <c r="A287" s="21" t="s">
        <v>4633</v>
      </c>
      <c r="B287" s="16" t="s">
        <v>4634</v>
      </c>
      <c r="C287" s="17">
        <v>1</v>
      </c>
      <c r="D287" s="22">
        <v>14</v>
      </c>
      <c r="E287" s="22">
        <v>14</v>
      </c>
      <c r="F287" s="17">
        <v>4135</v>
      </c>
      <c r="G287" s="16" t="s">
        <v>86</v>
      </c>
      <c r="H287" s="21" t="s">
        <v>227</v>
      </c>
      <c r="I287" s="16" t="s">
        <v>11</v>
      </c>
      <c r="J287" s="16" t="s">
        <v>412</v>
      </c>
      <c r="K287" s="16" t="s">
        <v>413</v>
      </c>
      <c r="L287" s="16" t="s">
        <v>111</v>
      </c>
      <c r="M287" s="16" t="s">
        <v>417</v>
      </c>
      <c r="N287" s="23" t="str">
        <f>HYPERLINK("http://slimages.macys.com/is/image/MCY/8904021 ")</f>
        <v xml:space="preserve">http://slimages.macys.com/is/image/MCY/8904021 </v>
      </c>
    </row>
    <row r="288" spans="1:14" x14ac:dyDescent="0.25">
      <c r="A288" s="21" t="s">
        <v>4644</v>
      </c>
      <c r="B288" s="16" t="s">
        <v>4645</v>
      </c>
      <c r="C288" s="17">
        <v>1</v>
      </c>
      <c r="D288" s="22">
        <v>75</v>
      </c>
      <c r="E288" s="22">
        <v>75</v>
      </c>
      <c r="F288" s="17">
        <v>12910</v>
      </c>
      <c r="G288" s="16" t="s">
        <v>31</v>
      </c>
      <c r="H288" s="21" t="s">
        <v>32</v>
      </c>
      <c r="I288" s="16" t="s">
        <v>11</v>
      </c>
      <c r="J288" s="16" t="s">
        <v>533</v>
      </c>
      <c r="K288" s="16" t="s">
        <v>534</v>
      </c>
      <c r="L288" s="16" t="s">
        <v>111</v>
      </c>
      <c r="M288" s="16" t="s">
        <v>216</v>
      </c>
      <c r="N288" s="23" t="str">
        <f>HYPERLINK("http://slimages.macys.com/is/image/MCY/8347668 ")</f>
        <v xml:space="preserve">http://slimages.macys.com/is/image/MCY/8347668 </v>
      </c>
    </row>
    <row r="289" spans="1:14" x14ac:dyDescent="0.25">
      <c r="A289" s="21" t="s">
        <v>531</v>
      </c>
      <c r="B289" s="16" t="s">
        <v>532</v>
      </c>
      <c r="C289" s="17">
        <v>1</v>
      </c>
      <c r="D289" s="22">
        <v>75</v>
      </c>
      <c r="E289" s="22">
        <v>75</v>
      </c>
      <c r="F289" s="17">
        <v>12901</v>
      </c>
      <c r="G289" s="16" t="s">
        <v>31</v>
      </c>
      <c r="H289" s="21" t="s">
        <v>32</v>
      </c>
      <c r="I289" s="16" t="s">
        <v>11</v>
      </c>
      <c r="J289" s="16" t="s">
        <v>533</v>
      </c>
      <c r="K289" s="16" t="s">
        <v>534</v>
      </c>
      <c r="L289" s="16" t="s">
        <v>111</v>
      </c>
      <c r="M289" s="16" t="s">
        <v>216</v>
      </c>
      <c r="N289" s="23" t="str">
        <f>HYPERLINK("http://slimages.macys.com/is/image/MCY/8347666 ")</f>
        <v xml:space="preserve">http://slimages.macys.com/is/image/MCY/8347666 </v>
      </c>
    </row>
    <row r="290" spans="1:14" x14ac:dyDescent="0.25">
      <c r="A290" s="21" t="s">
        <v>1113</v>
      </c>
      <c r="B290" s="16" t="s">
        <v>1114</v>
      </c>
      <c r="C290" s="17">
        <v>1</v>
      </c>
      <c r="D290" s="22">
        <v>75</v>
      </c>
      <c r="E290" s="22">
        <v>75</v>
      </c>
      <c r="F290" s="17">
        <v>12901</v>
      </c>
      <c r="G290" s="16" t="s">
        <v>31</v>
      </c>
      <c r="H290" s="21" t="s">
        <v>231</v>
      </c>
      <c r="I290" s="16" t="s">
        <v>11</v>
      </c>
      <c r="J290" s="16" t="s">
        <v>533</v>
      </c>
      <c r="K290" s="16" t="s">
        <v>534</v>
      </c>
      <c r="L290" s="16" t="s">
        <v>111</v>
      </c>
      <c r="M290" s="16" t="s">
        <v>216</v>
      </c>
      <c r="N290" s="23" t="str">
        <f>HYPERLINK("http://slimages.macys.com/is/image/MCY/8347666 ")</f>
        <v xml:space="preserve">http://slimages.macys.com/is/image/MCY/8347666 </v>
      </c>
    </row>
    <row r="291" spans="1:14" x14ac:dyDescent="0.25">
      <c r="A291" s="21" t="s">
        <v>4508</v>
      </c>
      <c r="B291" s="16" t="s">
        <v>4509</v>
      </c>
      <c r="C291" s="17">
        <v>1</v>
      </c>
      <c r="D291" s="22">
        <v>43.5</v>
      </c>
      <c r="E291" s="22">
        <v>43.5</v>
      </c>
      <c r="F291" s="17" t="s">
        <v>4510</v>
      </c>
      <c r="G291" s="16" t="s">
        <v>62</v>
      </c>
      <c r="H291" s="21" t="s">
        <v>55</v>
      </c>
      <c r="I291" s="16" t="s">
        <v>11</v>
      </c>
      <c r="J291" s="16" t="s">
        <v>240</v>
      </c>
      <c r="K291" s="16" t="s">
        <v>245</v>
      </c>
      <c r="L291" s="16"/>
      <c r="M291" s="16"/>
      <c r="N291" s="23" t="str">
        <f>HYPERLINK("http://slimages.macys.com/is/image/MCY/17695721 ")</f>
        <v xml:space="preserve">http://slimages.macys.com/is/image/MCY/17695721 </v>
      </c>
    </row>
    <row r="292" spans="1:14" x14ac:dyDescent="0.25">
      <c r="A292" s="21" t="s">
        <v>986</v>
      </c>
      <c r="B292" s="16" t="s">
        <v>987</v>
      </c>
      <c r="C292" s="17">
        <v>1</v>
      </c>
      <c r="D292" s="22">
        <v>36</v>
      </c>
      <c r="E292" s="22">
        <v>36</v>
      </c>
      <c r="F292" s="17" t="s">
        <v>988</v>
      </c>
      <c r="G292" s="16" t="s">
        <v>122</v>
      </c>
      <c r="H292" s="21" t="s">
        <v>27</v>
      </c>
      <c r="I292" s="16" t="s">
        <v>11</v>
      </c>
      <c r="J292" s="16" t="s">
        <v>240</v>
      </c>
      <c r="K292" s="16" t="s">
        <v>245</v>
      </c>
      <c r="L292" s="16" t="s">
        <v>111</v>
      </c>
      <c r="M292" s="16" t="s">
        <v>985</v>
      </c>
      <c r="N292" s="23" t="str">
        <f>HYPERLINK("http://slimages.macys.com/is/image/MCY/8604054 ")</f>
        <v xml:space="preserve">http://slimages.macys.com/is/image/MCY/8604054 </v>
      </c>
    </row>
    <row r="293" spans="1:14" x14ac:dyDescent="0.25">
      <c r="A293" s="21" t="s">
        <v>4412</v>
      </c>
      <c r="B293" s="16" t="s">
        <v>4413</v>
      </c>
      <c r="C293" s="17">
        <v>4</v>
      </c>
      <c r="D293" s="22">
        <v>51</v>
      </c>
      <c r="E293" s="22">
        <v>204</v>
      </c>
      <c r="F293" s="17" t="s">
        <v>3911</v>
      </c>
      <c r="G293" s="16" t="s">
        <v>104</v>
      </c>
      <c r="H293" s="21" t="s">
        <v>32</v>
      </c>
      <c r="I293" s="16" t="s">
        <v>11</v>
      </c>
      <c r="J293" s="16" t="s">
        <v>240</v>
      </c>
      <c r="K293" s="16" t="s">
        <v>245</v>
      </c>
      <c r="L293" s="16"/>
      <c r="M293" s="16"/>
      <c r="N293" s="23" t="str">
        <f>HYPERLINK("http://slimages.macys.com/is/image/MCY/20021324 ")</f>
        <v xml:space="preserve">http://slimages.macys.com/is/image/MCY/20021324 </v>
      </c>
    </row>
    <row r="294" spans="1:14" x14ac:dyDescent="0.25">
      <c r="A294" s="21" t="s">
        <v>4414</v>
      </c>
      <c r="B294" s="16" t="s">
        <v>4415</v>
      </c>
      <c r="C294" s="17">
        <v>1</v>
      </c>
      <c r="D294" s="22">
        <v>51</v>
      </c>
      <c r="E294" s="22">
        <v>51</v>
      </c>
      <c r="F294" s="17" t="s">
        <v>3911</v>
      </c>
      <c r="G294" s="16" t="s">
        <v>104</v>
      </c>
      <c r="H294" s="21" t="s">
        <v>40</v>
      </c>
      <c r="I294" s="16" t="s">
        <v>11</v>
      </c>
      <c r="J294" s="16" t="s">
        <v>240</v>
      </c>
      <c r="K294" s="16" t="s">
        <v>245</v>
      </c>
      <c r="L294" s="16"/>
      <c r="M294" s="16"/>
      <c r="N294" s="23" t="str">
        <f>HYPERLINK("http://slimages.macys.com/is/image/MCY/20021324 ")</f>
        <v xml:space="preserve">http://slimages.macys.com/is/image/MCY/20021324 </v>
      </c>
    </row>
    <row r="295" spans="1:14" x14ac:dyDescent="0.25">
      <c r="A295" s="21" t="s">
        <v>4511</v>
      </c>
      <c r="B295" s="16" t="s">
        <v>4512</v>
      </c>
      <c r="C295" s="17">
        <v>1</v>
      </c>
      <c r="D295" s="22">
        <v>43.5</v>
      </c>
      <c r="E295" s="22">
        <v>43.5</v>
      </c>
      <c r="F295" s="17" t="s">
        <v>4513</v>
      </c>
      <c r="G295" s="16" t="s">
        <v>214</v>
      </c>
      <c r="H295" s="21" t="s">
        <v>27</v>
      </c>
      <c r="I295" s="16" t="s">
        <v>11</v>
      </c>
      <c r="J295" s="16" t="s">
        <v>240</v>
      </c>
      <c r="K295" s="16" t="s">
        <v>245</v>
      </c>
      <c r="L295" s="16"/>
      <c r="M295" s="16"/>
      <c r="N295" s="23" t="str">
        <f>HYPERLINK("http://slimages.macys.com/is/image/MCY/18993328 ")</f>
        <v xml:space="preserve">http://slimages.macys.com/is/image/MCY/18993328 </v>
      </c>
    </row>
    <row r="296" spans="1:14" x14ac:dyDescent="0.25">
      <c r="A296" s="21" t="s">
        <v>4514</v>
      </c>
      <c r="B296" s="16" t="s">
        <v>4515</v>
      </c>
      <c r="C296" s="17">
        <v>1</v>
      </c>
      <c r="D296" s="22">
        <v>42</v>
      </c>
      <c r="E296" s="22">
        <v>42</v>
      </c>
      <c r="F296" s="17" t="s">
        <v>4516</v>
      </c>
      <c r="G296" s="16" t="s">
        <v>62</v>
      </c>
      <c r="H296" s="21" t="s">
        <v>55</v>
      </c>
      <c r="I296" s="16" t="s">
        <v>11</v>
      </c>
      <c r="J296" s="16" t="s">
        <v>240</v>
      </c>
      <c r="K296" s="16" t="s">
        <v>245</v>
      </c>
      <c r="L296" s="16"/>
      <c r="M296" s="16"/>
      <c r="N296" s="23" t="str">
        <f>HYPERLINK("http://slimages.macys.com/is/image/MCY/19631521 ")</f>
        <v xml:space="preserve">http://slimages.macys.com/is/image/MCY/19631521 </v>
      </c>
    </row>
    <row r="297" spans="1:14" x14ac:dyDescent="0.25">
      <c r="A297" s="21" t="s">
        <v>971</v>
      </c>
      <c r="B297" s="16" t="s">
        <v>969</v>
      </c>
      <c r="C297" s="17">
        <v>1</v>
      </c>
      <c r="D297" s="22">
        <v>20</v>
      </c>
      <c r="E297" s="22">
        <v>20</v>
      </c>
      <c r="F297" s="17">
        <v>3512</v>
      </c>
      <c r="G297" s="16" t="s">
        <v>76</v>
      </c>
      <c r="H297" s="21" t="s">
        <v>972</v>
      </c>
      <c r="I297" s="16" t="s">
        <v>893</v>
      </c>
      <c r="J297" s="16" t="s">
        <v>233</v>
      </c>
      <c r="K297" s="16" t="s">
        <v>970</v>
      </c>
      <c r="L297" s="16" t="s">
        <v>220</v>
      </c>
      <c r="M297" s="16" t="s">
        <v>423</v>
      </c>
      <c r="N297" s="23" t="str">
        <f>HYPERLINK("http://images.bloomingdales.com/is/image/BLM/9424666 ")</f>
        <v xml:space="preserve">http://images.bloomingdales.com/is/image/BLM/9424666 </v>
      </c>
    </row>
    <row r="298" spans="1:14" x14ac:dyDescent="0.25">
      <c r="A298" s="21" t="s">
        <v>968</v>
      </c>
      <c r="B298" s="16" t="s">
        <v>969</v>
      </c>
      <c r="C298" s="17">
        <v>2</v>
      </c>
      <c r="D298" s="22">
        <v>20</v>
      </c>
      <c r="E298" s="22">
        <v>40</v>
      </c>
      <c r="F298" s="17">
        <v>3512</v>
      </c>
      <c r="G298" s="16" t="s">
        <v>76</v>
      </c>
      <c r="H298" s="21" t="s">
        <v>255</v>
      </c>
      <c r="I298" s="16" t="s">
        <v>893</v>
      </c>
      <c r="J298" s="16" t="s">
        <v>233</v>
      </c>
      <c r="K298" s="16" t="s">
        <v>970</v>
      </c>
      <c r="L298" s="16" t="s">
        <v>220</v>
      </c>
      <c r="M298" s="16" t="s">
        <v>423</v>
      </c>
      <c r="N298" s="23" t="str">
        <f>HYPERLINK("http://images.bloomingdales.com/is/image/BLM/9424666 ")</f>
        <v xml:space="preserve">http://images.bloomingdales.com/is/image/BLM/9424666 </v>
      </c>
    </row>
    <row r="299" spans="1:14" x14ac:dyDescent="0.25">
      <c r="A299" s="21" t="s">
        <v>2784</v>
      </c>
      <c r="B299" s="16" t="s">
        <v>2785</v>
      </c>
      <c r="C299" s="17">
        <v>1</v>
      </c>
      <c r="D299" s="22">
        <v>56</v>
      </c>
      <c r="E299" s="22">
        <v>56</v>
      </c>
      <c r="F299" s="17">
        <v>2782</v>
      </c>
      <c r="G299" s="16" t="s">
        <v>127</v>
      </c>
      <c r="H299" s="21" t="s">
        <v>235</v>
      </c>
      <c r="I299" s="16" t="s">
        <v>11</v>
      </c>
      <c r="J299" s="16" t="s">
        <v>533</v>
      </c>
      <c r="K299" s="16" t="s">
        <v>538</v>
      </c>
      <c r="L299" s="16" t="s">
        <v>111</v>
      </c>
      <c r="M299" s="16" t="s">
        <v>1116</v>
      </c>
      <c r="N299" s="23" t="str">
        <f>HYPERLINK("http://slimages.macys.com/is/image/MCY/8515971 ")</f>
        <v xml:space="preserve">http://slimages.macys.com/is/image/MCY/8515971 </v>
      </c>
    </row>
    <row r="300" spans="1:14" x14ac:dyDescent="0.25">
      <c r="A300" s="21" t="s">
        <v>4652</v>
      </c>
      <c r="B300" s="16" t="s">
        <v>4653</v>
      </c>
      <c r="C300" s="17">
        <v>1</v>
      </c>
      <c r="D300" s="22">
        <v>36.75</v>
      </c>
      <c r="E300" s="22">
        <v>36.75</v>
      </c>
      <c r="F300" s="17" t="s">
        <v>1384</v>
      </c>
      <c r="G300" s="16" t="s">
        <v>83</v>
      </c>
      <c r="H300" s="21" t="s">
        <v>40</v>
      </c>
      <c r="I300" s="16" t="s">
        <v>11</v>
      </c>
      <c r="J300" s="16" t="s">
        <v>539</v>
      </c>
      <c r="K300" s="16" t="s">
        <v>555</v>
      </c>
      <c r="L300" s="16"/>
      <c r="M300" s="16"/>
      <c r="N300" s="23" t="str">
        <f>HYPERLINK("http://slimages.macys.com/is/image/MCY/19037232 ")</f>
        <v xml:space="preserve">http://slimages.macys.com/is/image/MCY/19037232 </v>
      </c>
    </row>
    <row r="301" spans="1:14" ht="24" x14ac:dyDescent="0.25">
      <c r="A301" s="21" t="s">
        <v>4488</v>
      </c>
      <c r="B301" s="16" t="s">
        <v>4489</v>
      </c>
      <c r="C301" s="17">
        <v>2</v>
      </c>
      <c r="D301" s="22">
        <v>20</v>
      </c>
      <c r="E301" s="22">
        <v>40</v>
      </c>
      <c r="F301" s="17">
        <v>152058</v>
      </c>
      <c r="G301" s="16" t="s">
        <v>488</v>
      </c>
      <c r="H301" s="21" t="s">
        <v>27</v>
      </c>
      <c r="I301" s="16" t="s">
        <v>11</v>
      </c>
      <c r="J301" s="16" t="s">
        <v>217</v>
      </c>
      <c r="K301" s="16" t="s">
        <v>219</v>
      </c>
      <c r="L301" s="16" t="s">
        <v>220</v>
      </c>
      <c r="M301" s="16" t="s">
        <v>4490</v>
      </c>
      <c r="N301" s="23" t="str">
        <f>HYPERLINK("http://images.bloomingdales.com/is/image/BLM/9386488 ")</f>
        <v xml:space="preserve">http://images.bloomingdales.com/is/image/BLM/9386488 </v>
      </c>
    </row>
    <row r="302" spans="1:14" ht="24" x14ac:dyDescent="0.25">
      <c r="A302" s="21" t="s">
        <v>4493</v>
      </c>
      <c r="B302" s="16" t="s">
        <v>4494</v>
      </c>
      <c r="C302" s="17">
        <v>1</v>
      </c>
      <c r="D302" s="22">
        <v>20</v>
      </c>
      <c r="E302" s="22">
        <v>20</v>
      </c>
      <c r="F302" s="17">
        <v>948245</v>
      </c>
      <c r="G302" s="16" t="s">
        <v>31</v>
      </c>
      <c r="H302" s="21" t="s">
        <v>32</v>
      </c>
      <c r="I302" s="16" t="s">
        <v>893</v>
      </c>
      <c r="J302" s="16" t="s">
        <v>233</v>
      </c>
      <c r="K302" s="16" t="s">
        <v>221</v>
      </c>
      <c r="L302" s="16" t="s">
        <v>967</v>
      </c>
      <c r="M302" s="16" t="s">
        <v>4495</v>
      </c>
      <c r="N302" s="23" t="str">
        <f>HYPERLINK("http://images.bloomingdales.com/is/image/BLM/11730015 ")</f>
        <v xml:space="preserve">http://images.bloomingdales.com/is/image/BLM/11730015 </v>
      </c>
    </row>
    <row r="303" spans="1:14" x14ac:dyDescent="0.25">
      <c r="A303" s="21" t="s">
        <v>4443</v>
      </c>
      <c r="B303" s="16" t="s">
        <v>4444</v>
      </c>
      <c r="C303" s="17">
        <v>1</v>
      </c>
      <c r="D303" s="22">
        <v>32</v>
      </c>
      <c r="E303" s="22">
        <v>32</v>
      </c>
      <c r="F303" s="17">
        <v>4747</v>
      </c>
      <c r="G303" s="16" t="s">
        <v>114</v>
      </c>
      <c r="H303" s="21" t="s">
        <v>1115</v>
      </c>
      <c r="I303" s="16" t="s">
        <v>11</v>
      </c>
      <c r="J303" s="16" t="s">
        <v>109</v>
      </c>
      <c r="K303" s="16" t="s">
        <v>116</v>
      </c>
      <c r="L303" s="16" t="s">
        <v>111</v>
      </c>
      <c r="M303" s="16" t="s">
        <v>609</v>
      </c>
      <c r="N303" s="23" t="str">
        <f>HYPERLINK("http://slimages.macys.com/is/image/MCY/3468607 ")</f>
        <v xml:space="preserve">http://slimages.macys.com/is/image/MCY/3468607 </v>
      </c>
    </row>
    <row r="304" spans="1:14" x14ac:dyDescent="0.25">
      <c r="A304" s="21" t="s">
        <v>607</v>
      </c>
      <c r="B304" s="16" t="s">
        <v>608</v>
      </c>
      <c r="C304" s="17">
        <v>3</v>
      </c>
      <c r="D304" s="22">
        <v>33.6</v>
      </c>
      <c r="E304" s="22">
        <v>100.8</v>
      </c>
      <c r="F304" s="17">
        <v>4513</v>
      </c>
      <c r="G304" s="16" t="s">
        <v>44</v>
      </c>
      <c r="H304" s="21" t="s">
        <v>606</v>
      </c>
      <c r="I304" s="16" t="s">
        <v>11</v>
      </c>
      <c r="J304" s="16" t="s">
        <v>109</v>
      </c>
      <c r="K304" s="16" t="s">
        <v>116</v>
      </c>
      <c r="L304" s="16" t="s">
        <v>111</v>
      </c>
      <c r="M304" s="16" t="s">
        <v>605</v>
      </c>
      <c r="N304" s="23" t="str">
        <f>HYPERLINK("http://slimages.macys.com/is/image/MCY/3468586 ")</f>
        <v xml:space="preserve">http://slimages.macys.com/is/image/MCY/3468586 </v>
      </c>
    </row>
    <row r="305" spans="1:14" x14ac:dyDescent="0.25">
      <c r="A305" s="21" t="s">
        <v>4592</v>
      </c>
      <c r="B305" s="16" t="s">
        <v>4593</v>
      </c>
      <c r="C305" s="17">
        <v>1</v>
      </c>
      <c r="D305" s="22">
        <v>68</v>
      </c>
      <c r="E305" s="22">
        <v>68</v>
      </c>
      <c r="F305" s="17" t="s">
        <v>4594</v>
      </c>
      <c r="G305" s="16" t="s">
        <v>378</v>
      </c>
      <c r="H305" s="21"/>
      <c r="I305" s="16" t="s">
        <v>11</v>
      </c>
      <c r="J305" s="16" t="s">
        <v>343</v>
      </c>
      <c r="K305" s="16" t="s">
        <v>1814</v>
      </c>
      <c r="L305" s="16"/>
      <c r="M305" s="16"/>
      <c r="N305" s="23" t="str">
        <f>HYPERLINK("http://slimages.macys.com/is/image/MCY/18347106 ")</f>
        <v xml:space="preserve">http://slimages.macys.com/is/image/MCY/18347106 </v>
      </c>
    </row>
    <row r="306" spans="1:14" x14ac:dyDescent="0.25">
      <c r="A306" s="21" t="s">
        <v>3311</v>
      </c>
      <c r="B306" s="16" t="s">
        <v>3312</v>
      </c>
      <c r="C306" s="17">
        <v>1</v>
      </c>
      <c r="D306" s="22">
        <v>27.6</v>
      </c>
      <c r="E306" s="22">
        <v>27.6</v>
      </c>
      <c r="F306" s="17" t="s">
        <v>392</v>
      </c>
      <c r="G306" s="16" t="s">
        <v>137</v>
      </c>
      <c r="H306" s="21" t="s">
        <v>32</v>
      </c>
      <c r="I306" s="16" t="s">
        <v>11</v>
      </c>
      <c r="J306" s="16" t="s">
        <v>343</v>
      </c>
      <c r="K306" s="16" t="s">
        <v>379</v>
      </c>
      <c r="L306" s="16"/>
      <c r="M306" s="16"/>
      <c r="N306" s="23" t="str">
        <f>HYPERLINK("http://slimages.macys.com/is/image/MCY/20376520 ")</f>
        <v xml:space="preserve">http://slimages.macys.com/is/image/MCY/20376520 </v>
      </c>
    </row>
    <row r="307" spans="1:14" x14ac:dyDescent="0.25">
      <c r="A307" s="21" t="s">
        <v>4606</v>
      </c>
      <c r="B307" s="16" t="s">
        <v>4607</v>
      </c>
      <c r="C307" s="17">
        <v>1</v>
      </c>
      <c r="D307" s="22">
        <v>34.799999999999997</v>
      </c>
      <c r="E307" s="22">
        <v>34.799999999999997</v>
      </c>
      <c r="F307" s="17" t="s">
        <v>3406</v>
      </c>
      <c r="G307" s="16" t="s">
        <v>163</v>
      </c>
      <c r="H307" s="21" t="s">
        <v>27</v>
      </c>
      <c r="I307" s="16" t="s">
        <v>11</v>
      </c>
      <c r="J307" s="16" t="s">
        <v>343</v>
      </c>
      <c r="K307" s="16" t="s">
        <v>379</v>
      </c>
      <c r="L307" s="16"/>
      <c r="M307" s="16"/>
      <c r="N307" s="23" t="str">
        <f>HYPERLINK("http://slimages.macys.com/is/image/MCY/19669581 ")</f>
        <v xml:space="preserve">http://slimages.macys.com/is/image/MCY/19669581 </v>
      </c>
    </row>
    <row r="308" spans="1:14" x14ac:dyDescent="0.25">
      <c r="A308" s="21" t="s">
        <v>4608</v>
      </c>
      <c r="B308" s="16" t="s">
        <v>4609</v>
      </c>
      <c r="C308" s="17">
        <v>1</v>
      </c>
      <c r="D308" s="22">
        <v>34.799999999999997</v>
      </c>
      <c r="E308" s="22">
        <v>34.799999999999997</v>
      </c>
      <c r="F308" s="17" t="s">
        <v>382</v>
      </c>
      <c r="G308" s="16" t="s">
        <v>76</v>
      </c>
      <c r="H308" s="21" t="s">
        <v>40</v>
      </c>
      <c r="I308" s="16" t="s">
        <v>11</v>
      </c>
      <c r="J308" s="16" t="s">
        <v>343</v>
      </c>
      <c r="K308" s="16" t="s">
        <v>379</v>
      </c>
      <c r="L308" s="16"/>
      <c r="M308" s="16"/>
      <c r="N308" s="23" t="str">
        <f>HYPERLINK("http://slimages.macys.com/is/image/MCY/19669567 ")</f>
        <v xml:space="preserve">http://slimages.macys.com/is/image/MCY/19669567 </v>
      </c>
    </row>
    <row r="309" spans="1:14" x14ac:dyDescent="0.25">
      <c r="A309" s="21" t="s">
        <v>4604</v>
      </c>
      <c r="B309" s="16" t="s">
        <v>4605</v>
      </c>
      <c r="C309" s="17">
        <v>1</v>
      </c>
      <c r="D309" s="22">
        <v>34.799999999999997</v>
      </c>
      <c r="E309" s="22">
        <v>34.799999999999997</v>
      </c>
      <c r="F309" s="17" t="s">
        <v>3406</v>
      </c>
      <c r="G309" s="16" t="s">
        <v>31</v>
      </c>
      <c r="H309" s="21" t="s">
        <v>40</v>
      </c>
      <c r="I309" s="16" t="s">
        <v>11</v>
      </c>
      <c r="J309" s="16" t="s">
        <v>343</v>
      </c>
      <c r="K309" s="16" t="s">
        <v>379</v>
      </c>
      <c r="L309" s="16"/>
      <c r="M309" s="16"/>
      <c r="N309" s="23" t="str">
        <f>HYPERLINK("http://slimages.macys.com/is/image/MCY/19669581 ")</f>
        <v xml:space="preserve">http://slimages.macys.com/is/image/MCY/19669581 </v>
      </c>
    </row>
    <row r="310" spans="1:14" x14ac:dyDescent="0.25">
      <c r="A310" s="21" t="s">
        <v>4630</v>
      </c>
      <c r="B310" s="16" t="s">
        <v>4631</v>
      </c>
      <c r="C310" s="17">
        <v>1</v>
      </c>
      <c r="D310" s="22">
        <v>27.6</v>
      </c>
      <c r="E310" s="22">
        <v>27.6</v>
      </c>
      <c r="F310" s="17" t="s">
        <v>4632</v>
      </c>
      <c r="G310" s="16" t="s">
        <v>44</v>
      </c>
      <c r="H310" s="21" t="s">
        <v>32</v>
      </c>
      <c r="I310" s="16" t="s">
        <v>11</v>
      </c>
      <c r="J310" s="16" t="s">
        <v>343</v>
      </c>
      <c r="K310" s="16" t="s">
        <v>379</v>
      </c>
      <c r="L310" s="16"/>
      <c r="M310" s="16"/>
      <c r="N310" s="23" t="str">
        <f>HYPERLINK("http://slimages.macys.com/is/image/MCY/18829910 ")</f>
        <v xml:space="preserve">http://slimages.macys.com/is/image/MCY/18829910 </v>
      </c>
    </row>
    <row r="311" spans="1:14" x14ac:dyDescent="0.25">
      <c r="A311" s="21" t="s">
        <v>4619</v>
      </c>
      <c r="B311" s="16" t="s">
        <v>4620</v>
      </c>
      <c r="C311" s="17">
        <v>3</v>
      </c>
      <c r="D311" s="22">
        <v>27.6</v>
      </c>
      <c r="E311" s="22">
        <v>82.8</v>
      </c>
      <c r="F311" s="17" t="s">
        <v>4621</v>
      </c>
      <c r="G311" s="16" t="s">
        <v>139</v>
      </c>
      <c r="H311" s="21" t="s">
        <v>40</v>
      </c>
      <c r="I311" s="16" t="s">
        <v>11</v>
      </c>
      <c r="J311" s="16" t="s">
        <v>343</v>
      </c>
      <c r="K311" s="16" t="s">
        <v>379</v>
      </c>
      <c r="L311" s="16"/>
      <c r="M311" s="16"/>
      <c r="N311" s="23" t="str">
        <f>HYPERLINK("http://slimages.macys.com/is/image/MCY/18829267 ")</f>
        <v xml:space="preserve">http://slimages.macys.com/is/image/MCY/18829267 </v>
      </c>
    </row>
    <row r="312" spans="1:14" x14ac:dyDescent="0.25">
      <c r="A312" s="21" t="s">
        <v>4613</v>
      </c>
      <c r="B312" s="16" t="s">
        <v>4614</v>
      </c>
      <c r="C312" s="17">
        <v>1</v>
      </c>
      <c r="D312" s="22">
        <v>34.799999999999997</v>
      </c>
      <c r="E312" s="22">
        <v>34.799999999999997</v>
      </c>
      <c r="F312" s="17" t="s">
        <v>1272</v>
      </c>
      <c r="G312" s="16" t="s">
        <v>201</v>
      </c>
      <c r="H312" s="21" t="s">
        <v>55</v>
      </c>
      <c r="I312" s="16" t="s">
        <v>11</v>
      </c>
      <c r="J312" s="16" t="s">
        <v>343</v>
      </c>
      <c r="K312" s="16" t="s">
        <v>379</v>
      </c>
      <c r="L312" s="16"/>
      <c r="M312" s="16"/>
      <c r="N312" s="23" t="str">
        <f>HYPERLINK("http://slimages.macys.com/is/image/MCY/20291358 ")</f>
        <v xml:space="preserve">http://slimages.macys.com/is/image/MCY/20291358 </v>
      </c>
    </row>
    <row r="313" spans="1:14" x14ac:dyDescent="0.25">
      <c r="A313" s="21" t="s">
        <v>4617</v>
      </c>
      <c r="B313" s="16" t="s">
        <v>4618</v>
      </c>
      <c r="C313" s="17">
        <v>1</v>
      </c>
      <c r="D313" s="22">
        <v>27.6</v>
      </c>
      <c r="E313" s="22">
        <v>27.6</v>
      </c>
      <c r="F313" s="17" t="s">
        <v>388</v>
      </c>
      <c r="G313" s="16" t="s">
        <v>44</v>
      </c>
      <c r="H313" s="21" t="s">
        <v>55</v>
      </c>
      <c r="I313" s="16" t="s">
        <v>11</v>
      </c>
      <c r="J313" s="16" t="s">
        <v>343</v>
      </c>
      <c r="K313" s="16" t="s">
        <v>379</v>
      </c>
      <c r="L313" s="16"/>
      <c r="M313" s="16"/>
      <c r="N313" s="23" t="str">
        <f>HYPERLINK("http://slimages.macys.com/is/image/MCY/20067677 ")</f>
        <v xml:space="preserve">http://slimages.macys.com/is/image/MCY/20067677 </v>
      </c>
    </row>
    <row r="314" spans="1:14" x14ac:dyDescent="0.25">
      <c r="A314" s="21" t="s">
        <v>1703</v>
      </c>
      <c r="B314" s="16" t="s">
        <v>2644</v>
      </c>
      <c r="C314" s="17">
        <v>1</v>
      </c>
      <c r="D314" s="22">
        <v>36</v>
      </c>
      <c r="E314" s="22">
        <v>36</v>
      </c>
      <c r="F314" s="17" t="s">
        <v>408</v>
      </c>
      <c r="G314" s="16" t="s">
        <v>83</v>
      </c>
      <c r="H314" s="21" t="s">
        <v>40</v>
      </c>
      <c r="I314" s="16" t="s">
        <v>11</v>
      </c>
      <c r="J314" s="16" t="s">
        <v>343</v>
      </c>
      <c r="K314" s="16" t="s">
        <v>379</v>
      </c>
      <c r="L314" s="16"/>
      <c r="M314" s="16"/>
      <c r="N314" s="23" t="str">
        <f>HYPERLINK("http://slimages.macys.com/is/image/MCY/19626313 ")</f>
        <v xml:space="preserve">http://slimages.macys.com/is/image/MCY/19626313 </v>
      </c>
    </row>
    <row r="315" spans="1:14" x14ac:dyDescent="0.25">
      <c r="A315" s="21" t="s">
        <v>156</v>
      </c>
      <c r="B315" s="16" t="s">
        <v>1668</v>
      </c>
      <c r="C315" s="17">
        <v>1</v>
      </c>
      <c r="D315" s="22">
        <v>42</v>
      </c>
      <c r="E315" s="22">
        <v>42</v>
      </c>
      <c r="F315" s="17" t="s">
        <v>157</v>
      </c>
      <c r="G315" s="16" t="s">
        <v>83</v>
      </c>
      <c r="H315" s="21" t="s">
        <v>40</v>
      </c>
      <c r="I315" s="16" t="s">
        <v>893</v>
      </c>
      <c r="J315" s="16" t="s">
        <v>217</v>
      </c>
      <c r="K315" s="16" t="s">
        <v>143</v>
      </c>
      <c r="L315" s="16"/>
      <c r="M315" s="16"/>
      <c r="N315" s="23" t="str">
        <f>HYPERLINK("http://slimages.macys.com/is/image/MCY/19150867 ")</f>
        <v xml:space="preserve">http://slimages.macys.com/is/image/MCY/19150867 </v>
      </c>
    </row>
    <row r="316" spans="1:14" x14ac:dyDescent="0.25">
      <c r="A316" s="21" t="s">
        <v>4498</v>
      </c>
      <c r="B316" s="16" t="s">
        <v>4499</v>
      </c>
      <c r="C316" s="17">
        <v>1</v>
      </c>
      <c r="D316" s="22">
        <v>20</v>
      </c>
      <c r="E316" s="22">
        <v>20</v>
      </c>
      <c r="F316" s="17" t="s">
        <v>4500</v>
      </c>
      <c r="G316" s="16" t="s">
        <v>31</v>
      </c>
      <c r="H316" s="21" t="s">
        <v>27</v>
      </c>
      <c r="I316" s="16" t="s">
        <v>893</v>
      </c>
      <c r="J316" s="16" t="s">
        <v>233</v>
      </c>
      <c r="K316" s="16" t="s">
        <v>970</v>
      </c>
      <c r="L316" s="16" t="s">
        <v>220</v>
      </c>
      <c r="M316" s="16" t="s">
        <v>4501</v>
      </c>
      <c r="N316" s="23" t="str">
        <f>HYPERLINK("http://images.bloomingdales.com/is/image/BLM/10671068 ")</f>
        <v xml:space="preserve">http://images.bloomingdales.com/is/image/BLM/10671068 </v>
      </c>
    </row>
    <row r="317" spans="1:14" x14ac:dyDescent="0.25">
      <c r="A317" s="21" t="s">
        <v>4595</v>
      </c>
      <c r="B317" s="16" t="s">
        <v>4596</v>
      </c>
      <c r="C317" s="17">
        <v>1</v>
      </c>
      <c r="D317" s="22">
        <v>45</v>
      </c>
      <c r="E317" s="22">
        <v>45</v>
      </c>
      <c r="F317" s="17" t="s">
        <v>4597</v>
      </c>
      <c r="G317" s="16" t="s">
        <v>122</v>
      </c>
      <c r="H317" s="21" t="s">
        <v>1594</v>
      </c>
      <c r="I317" s="16" t="s">
        <v>11</v>
      </c>
      <c r="J317" s="16" t="s">
        <v>343</v>
      </c>
      <c r="K317" s="16" t="s">
        <v>772</v>
      </c>
      <c r="L317" s="16"/>
      <c r="M317" s="16"/>
      <c r="N317" s="23" t="str">
        <f>HYPERLINK("http://slimages.macys.com/is/image/MCY/19579321 ")</f>
        <v xml:space="preserve">http://slimages.macys.com/is/image/MCY/19579321 </v>
      </c>
    </row>
    <row r="318" spans="1:14" x14ac:dyDescent="0.25">
      <c r="A318" s="21" t="s">
        <v>4496</v>
      </c>
      <c r="B318" s="16" t="s">
        <v>4497</v>
      </c>
      <c r="C318" s="17">
        <v>1</v>
      </c>
      <c r="D318" s="22">
        <v>19</v>
      </c>
      <c r="E318" s="22">
        <v>19</v>
      </c>
      <c r="F318" s="17">
        <v>870350</v>
      </c>
      <c r="G318" s="16" t="s">
        <v>31</v>
      </c>
      <c r="H318" s="21" t="s">
        <v>55</v>
      </c>
      <c r="I318" s="16" t="s">
        <v>893</v>
      </c>
      <c r="J318" s="16" t="s">
        <v>233</v>
      </c>
      <c r="K318" s="16" t="s">
        <v>234</v>
      </c>
      <c r="L318" s="16" t="s">
        <v>111</v>
      </c>
      <c r="M318" s="16" t="s">
        <v>237</v>
      </c>
      <c r="N318" s="23" t="str">
        <f>HYPERLINK("http://slimages.macys.com/is/image/MCY/13287995 ")</f>
        <v xml:space="preserve">http://slimages.macys.com/is/image/MCY/13287995 </v>
      </c>
    </row>
    <row r="319" spans="1:14" x14ac:dyDescent="0.25">
      <c r="A319" s="21" t="s">
        <v>931</v>
      </c>
      <c r="B319" s="16" t="s">
        <v>932</v>
      </c>
      <c r="C319" s="17">
        <v>1</v>
      </c>
      <c r="D319" s="22">
        <v>33</v>
      </c>
      <c r="E319" s="22">
        <v>33</v>
      </c>
      <c r="F319" s="17">
        <v>71500</v>
      </c>
      <c r="G319" s="16" t="s">
        <v>696</v>
      </c>
      <c r="H319" s="21" t="s">
        <v>117</v>
      </c>
      <c r="I319" s="16" t="s">
        <v>11</v>
      </c>
      <c r="J319" s="16" t="s">
        <v>109</v>
      </c>
      <c r="K319" s="16" t="s">
        <v>128</v>
      </c>
      <c r="L319" s="16" t="s">
        <v>111</v>
      </c>
      <c r="M319" s="16" t="s">
        <v>930</v>
      </c>
      <c r="N319" s="23" t="str">
        <f>HYPERLINK("http://slimages.macys.com/is/image/MCY/3951194 ")</f>
        <v xml:space="preserve">http://slimages.macys.com/is/image/MCY/3951194 </v>
      </c>
    </row>
    <row r="320" spans="1:14" x14ac:dyDescent="0.25">
      <c r="A320" s="21" t="s">
        <v>4491</v>
      </c>
      <c r="B320" s="16" t="s">
        <v>4492</v>
      </c>
      <c r="C320" s="17">
        <v>1</v>
      </c>
      <c r="D320" s="22">
        <v>60</v>
      </c>
      <c r="E320" s="22">
        <v>60</v>
      </c>
      <c r="F320" s="17">
        <v>85814</v>
      </c>
      <c r="G320" s="16" t="s">
        <v>120</v>
      </c>
      <c r="H320" s="21" t="s">
        <v>117</v>
      </c>
      <c r="I320" s="16" t="s">
        <v>11</v>
      </c>
      <c r="J320" s="16" t="s">
        <v>233</v>
      </c>
      <c r="K320" s="16" t="s">
        <v>234</v>
      </c>
      <c r="L320" s="16" t="s">
        <v>111</v>
      </c>
      <c r="M320" s="16" t="s">
        <v>725</v>
      </c>
      <c r="N320" s="23" t="str">
        <f>HYPERLINK("http://slimages.macys.com/is/image/MCY/3651277 ")</f>
        <v xml:space="preserve">http://slimages.macys.com/is/image/MCY/3651277 </v>
      </c>
    </row>
    <row r="321" spans="1:14" x14ac:dyDescent="0.25">
      <c r="A321" s="21" t="s">
        <v>3643</v>
      </c>
      <c r="B321" s="16" t="s">
        <v>3644</v>
      </c>
      <c r="C321" s="17">
        <v>13</v>
      </c>
      <c r="D321" s="22">
        <v>8.9600000000000009</v>
      </c>
      <c r="E321" s="22">
        <v>116.48</v>
      </c>
      <c r="F321" s="17" t="s">
        <v>3645</v>
      </c>
      <c r="G321" s="16" t="s">
        <v>3320</v>
      </c>
      <c r="H321" s="21" t="s">
        <v>3321</v>
      </c>
      <c r="I321" s="16" t="s">
        <v>11</v>
      </c>
      <c r="J321" s="16" t="s">
        <v>130</v>
      </c>
      <c r="K321" s="16" t="s">
        <v>3322</v>
      </c>
      <c r="L321" s="16"/>
      <c r="M321" s="16"/>
      <c r="N321" s="23"/>
    </row>
    <row r="322" spans="1:14" x14ac:dyDescent="0.25">
      <c r="A322" s="21" t="s">
        <v>3317</v>
      </c>
      <c r="B322" s="16" t="s">
        <v>3318</v>
      </c>
      <c r="C322" s="17">
        <v>2</v>
      </c>
      <c r="D322" s="22">
        <v>5.96</v>
      </c>
      <c r="E322" s="22">
        <v>11.92</v>
      </c>
      <c r="F322" s="17" t="s">
        <v>3319</v>
      </c>
      <c r="G322" s="16" t="s">
        <v>3320</v>
      </c>
      <c r="H322" s="21" t="s">
        <v>3321</v>
      </c>
      <c r="I322" s="16" t="s">
        <v>11</v>
      </c>
      <c r="J322" s="16" t="s">
        <v>130</v>
      </c>
      <c r="K322" s="16" t="s">
        <v>3322</v>
      </c>
      <c r="L322" s="16"/>
      <c r="M322" s="16"/>
      <c r="N322" s="23"/>
    </row>
  </sheetData>
  <sortState ref="A2:N322">
    <sortCondition ref="B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0"/>
  <sheetViews>
    <sheetView workbookViewId="0">
      <selection activeCell="E18" sqref="E18"/>
    </sheetView>
  </sheetViews>
  <sheetFormatPr defaultColWidth="77.28515625" defaultRowHeight="15" x14ac:dyDescent="0.25"/>
  <cols>
    <col min="1" max="1" width="13.140625" bestFit="1" customWidth="1"/>
    <col min="2" max="2" width="61.85546875" bestFit="1" customWidth="1"/>
    <col min="3" max="3" width="12.42578125" bestFit="1" customWidth="1"/>
    <col min="4" max="4" width="15" bestFit="1" customWidth="1"/>
    <col min="5" max="5" width="21" bestFit="1" customWidth="1"/>
    <col min="6" max="6" width="15.85546875" bestFit="1" customWidth="1"/>
    <col min="7" max="7" width="12.42578125" bestFit="1" customWidth="1"/>
    <col min="8" max="8" width="9.28515625" bestFit="1" customWidth="1"/>
    <col min="9" max="9" width="8.140625" bestFit="1" customWidth="1"/>
    <col min="10" max="10" width="17.5703125" bestFit="1" customWidth="1"/>
    <col min="11" max="11" width="39.5703125" bestFit="1" customWidth="1"/>
    <col min="12" max="12" width="17.7109375" bestFit="1" customWidth="1"/>
    <col min="13" max="13" width="26.85546875" bestFit="1" customWidth="1"/>
    <col min="14" max="14" width="42.85546875" bestFit="1" customWidth="1"/>
  </cols>
  <sheetData>
    <row r="1" spans="1:14" x14ac:dyDescent="0.25">
      <c r="A1" s="15" t="s">
        <v>12</v>
      </c>
      <c r="B1" s="15" t="s">
        <v>13</v>
      </c>
      <c r="C1" s="15" t="s">
        <v>14</v>
      </c>
      <c r="D1" s="15" t="s">
        <v>5</v>
      </c>
      <c r="E1" s="15" t="s">
        <v>9</v>
      </c>
      <c r="F1" s="15" t="s">
        <v>15</v>
      </c>
      <c r="G1" s="15" t="s">
        <v>16</v>
      </c>
      <c r="H1" s="15" t="s">
        <v>17</v>
      </c>
      <c r="I1" s="15" t="s">
        <v>10</v>
      </c>
      <c r="J1" s="15" t="s">
        <v>18</v>
      </c>
      <c r="K1" s="15" t="s">
        <v>19</v>
      </c>
      <c r="L1" s="15" t="s">
        <v>20</v>
      </c>
      <c r="M1" s="15" t="s">
        <v>21</v>
      </c>
      <c r="N1" s="15" t="s">
        <v>22</v>
      </c>
    </row>
    <row r="2" spans="1:14" x14ac:dyDescent="0.25">
      <c r="A2" s="21" t="s">
        <v>1407</v>
      </c>
      <c r="B2" s="16" t="s">
        <v>1408</v>
      </c>
      <c r="C2" s="17">
        <v>1</v>
      </c>
      <c r="D2" s="22">
        <v>44.99</v>
      </c>
      <c r="E2" s="22">
        <v>44.99</v>
      </c>
      <c r="F2" s="17" t="s">
        <v>77</v>
      </c>
      <c r="G2" s="16" t="s">
        <v>31</v>
      </c>
      <c r="H2" s="21" t="s">
        <v>55</v>
      </c>
      <c r="I2" s="16" t="s">
        <v>11</v>
      </c>
      <c r="J2" s="16" t="s">
        <v>28</v>
      </c>
      <c r="K2" s="16" t="s">
        <v>29</v>
      </c>
      <c r="L2" s="16"/>
      <c r="M2" s="16"/>
      <c r="N2" s="23" t="str">
        <f>HYPERLINK("http://slimages.macys.com/is/image/MCY/17387153 ")</f>
        <v xml:space="preserve">http://slimages.macys.com/is/image/MCY/17387153 </v>
      </c>
    </row>
    <row r="3" spans="1:14" x14ac:dyDescent="0.25">
      <c r="A3" s="21" t="s">
        <v>1409</v>
      </c>
      <c r="B3" s="16" t="s">
        <v>1410</v>
      </c>
      <c r="C3" s="17">
        <v>1</v>
      </c>
      <c r="D3" s="22">
        <v>44.99</v>
      </c>
      <c r="E3" s="22">
        <v>44.99</v>
      </c>
      <c r="F3" s="17" t="s">
        <v>77</v>
      </c>
      <c r="G3" s="16" t="s">
        <v>31</v>
      </c>
      <c r="H3" s="21" t="s">
        <v>87</v>
      </c>
      <c r="I3" s="16" t="s">
        <v>11</v>
      </c>
      <c r="J3" s="16" t="s">
        <v>28</v>
      </c>
      <c r="K3" s="16" t="s">
        <v>29</v>
      </c>
      <c r="L3" s="16"/>
      <c r="M3" s="16"/>
      <c r="N3" s="23" t="str">
        <f>HYPERLINK("http://slimages.macys.com/is/image/MCY/17387153 ")</f>
        <v xml:space="preserve">http://slimages.macys.com/is/image/MCY/17387153 </v>
      </c>
    </row>
    <row r="4" spans="1:14" x14ac:dyDescent="0.25">
      <c r="A4" s="21" t="s">
        <v>41</v>
      </c>
      <c r="B4" s="16" t="s">
        <v>42</v>
      </c>
      <c r="C4" s="17">
        <v>50</v>
      </c>
      <c r="D4" s="22">
        <v>34.99</v>
      </c>
      <c r="E4" s="22">
        <v>1749.5</v>
      </c>
      <c r="F4" s="17" t="s">
        <v>43</v>
      </c>
      <c r="G4" s="16" t="s">
        <v>44</v>
      </c>
      <c r="H4" s="21" t="s">
        <v>40</v>
      </c>
      <c r="I4" s="16" t="s">
        <v>11</v>
      </c>
      <c r="J4" s="16" t="s">
        <v>28</v>
      </c>
      <c r="K4" s="16" t="s">
        <v>29</v>
      </c>
      <c r="L4" s="16"/>
      <c r="M4" s="16"/>
      <c r="N4" s="23" t="str">
        <f>HYPERLINK("http://slimages.macys.com/is/image/MCY/18574724 ")</f>
        <v xml:space="preserve">http://slimages.macys.com/is/image/MCY/18574724 </v>
      </c>
    </row>
    <row r="5" spans="1:14" x14ac:dyDescent="0.25">
      <c r="A5" s="21" t="s">
        <v>566</v>
      </c>
      <c r="B5" s="16" t="s">
        <v>567</v>
      </c>
      <c r="C5" s="17">
        <v>14</v>
      </c>
      <c r="D5" s="22">
        <v>34.99</v>
      </c>
      <c r="E5" s="22">
        <v>489.86</v>
      </c>
      <c r="F5" s="17" t="s">
        <v>43</v>
      </c>
      <c r="G5" s="16" t="s">
        <v>44</v>
      </c>
      <c r="H5" s="21" t="s">
        <v>55</v>
      </c>
      <c r="I5" s="16" t="s">
        <v>11</v>
      </c>
      <c r="J5" s="16" t="s">
        <v>28</v>
      </c>
      <c r="K5" s="16" t="s">
        <v>29</v>
      </c>
      <c r="L5" s="16"/>
      <c r="M5" s="16"/>
      <c r="N5" s="23" t="str">
        <f>HYPERLINK("http://slimages.macys.com/is/image/MCY/18574724 ")</f>
        <v xml:space="preserve">http://slimages.macys.com/is/image/MCY/18574724 </v>
      </c>
    </row>
    <row r="6" spans="1:14" x14ac:dyDescent="0.25">
      <c r="A6" s="21" t="s">
        <v>45</v>
      </c>
      <c r="B6" s="16" t="s">
        <v>46</v>
      </c>
      <c r="C6" s="17">
        <v>5</v>
      </c>
      <c r="D6" s="22">
        <v>34.99</v>
      </c>
      <c r="E6" s="22">
        <v>174.95</v>
      </c>
      <c r="F6" s="17" t="s">
        <v>43</v>
      </c>
      <c r="G6" s="16" t="s">
        <v>44</v>
      </c>
      <c r="H6" s="21" t="s">
        <v>47</v>
      </c>
      <c r="I6" s="16" t="s">
        <v>11</v>
      </c>
      <c r="J6" s="16" t="s">
        <v>28</v>
      </c>
      <c r="K6" s="16" t="s">
        <v>29</v>
      </c>
      <c r="L6" s="16"/>
      <c r="M6" s="16"/>
      <c r="N6" s="23" t="str">
        <f>HYPERLINK("http://slimages.macys.com/is/image/MCY/18742971 ")</f>
        <v xml:space="preserve">http://slimages.macys.com/is/image/MCY/18742971 </v>
      </c>
    </row>
    <row r="7" spans="1:14" x14ac:dyDescent="0.25">
      <c r="A7" s="21" t="s">
        <v>1141</v>
      </c>
      <c r="B7" s="16" t="s">
        <v>1142</v>
      </c>
      <c r="C7" s="17">
        <v>8</v>
      </c>
      <c r="D7" s="22">
        <v>36.99</v>
      </c>
      <c r="E7" s="22">
        <v>295.92</v>
      </c>
      <c r="F7" s="17" t="s">
        <v>921</v>
      </c>
      <c r="G7" s="16" t="s">
        <v>488</v>
      </c>
      <c r="H7" s="21" t="s">
        <v>40</v>
      </c>
      <c r="I7" s="16" t="s">
        <v>11</v>
      </c>
      <c r="J7" s="16" t="s">
        <v>28</v>
      </c>
      <c r="K7" s="16" t="s">
        <v>29</v>
      </c>
      <c r="L7" s="16"/>
      <c r="M7" s="16"/>
      <c r="N7" s="23" t="str">
        <f>HYPERLINK("http://slimages.macys.com/is/image/MCY/20649753 ")</f>
        <v xml:space="preserve">http://slimages.macys.com/is/image/MCY/20649753 </v>
      </c>
    </row>
    <row r="8" spans="1:14" x14ac:dyDescent="0.25">
      <c r="A8" s="21" t="s">
        <v>1405</v>
      </c>
      <c r="B8" s="16" t="s">
        <v>1406</v>
      </c>
      <c r="C8" s="17">
        <v>1</v>
      </c>
      <c r="D8" s="22">
        <v>59.99</v>
      </c>
      <c r="E8" s="22">
        <v>59.99</v>
      </c>
      <c r="F8" s="17" t="s">
        <v>901</v>
      </c>
      <c r="G8" s="16" t="s">
        <v>31</v>
      </c>
      <c r="H8" s="21" t="s">
        <v>47</v>
      </c>
      <c r="I8" s="16" t="s">
        <v>11</v>
      </c>
      <c r="J8" s="16" t="s">
        <v>28</v>
      </c>
      <c r="K8" s="16" t="s">
        <v>29</v>
      </c>
      <c r="L8" s="16"/>
      <c r="M8" s="16"/>
      <c r="N8" s="23" t="str">
        <f>HYPERLINK("http://slimages.macys.com/is/image/MCY/18201709 ")</f>
        <v xml:space="preserve">http://slimages.macys.com/is/image/MCY/18201709 </v>
      </c>
    </row>
    <row r="9" spans="1:14" x14ac:dyDescent="0.25">
      <c r="A9" s="21" t="s">
        <v>1411</v>
      </c>
      <c r="B9" s="16" t="s">
        <v>1412</v>
      </c>
      <c r="C9" s="17">
        <v>1</v>
      </c>
      <c r="D9" s="22">
        <v>39.99</v>
      </c>
      <c r="E9" s="22">
        <v>39.99</v>
      </c>
      <c r="F9" s="17" t="s">
        <v>1413</v>
      </c>
      <c r="G9" s="16" t="s">
        <v>488</v>
      </c>
      <c r="H9" s="21" t="s">
        <v>149</v>
      </c>
      <c r="I9" s="16" t="s">
        <v>11</v>
      </c>
      <c r="J9" s="16" t="s">
        <v>28</v>
      </c>
      <c r="K9" s="16" t="s">
        <v>29</v>
      </c>
      <c r="L9" s="16"/>
      <c r="M9" s="16"/>
      <c r="N9" s="23" t="str">
        <f>HYPERLINK("http://slimages.macys.com/is/image/MCY/18201705 ")</f>
        <v xml:space="preserve">http://slimages.macys.com/is/image/MCY/18201705 </v>
      </c>
    </row>
    <row r="10" spans="1:14" x14ac:dyDescent="0.25">
      <c r="A10" s="21" t="s">
        <v>1397</v>
      </c>
      <c r="B10" s="16" t="s">
        <v>1398</v>
      </c>
      <c r="C10" s="17">
        <v>1</v>
      </c>
      <c r="D10" s="22">
        <v>44.99</v>
      </c>
      <c r="E10" s="22">
        <v>44.99</v>
      </c>
      <c r="F10" s="17" t="s">
        <v>565</v>
      </c>
      <c r="G10" s="16" t="s">
        <v>44</v>
      </c>
      <c r="H10" s="21" t="s">
        <v>32</v>
      </c>
      <c r="I10" s="16" t="s">
        <v>11</v>
      </c>
      <c r="J10" s="16" t="s">
        <v>28</v>
      </c>
      <c r="K10" s="16" t="s">
        <v>29</v>
      </c>
      <c r="L10" s="16"/>
      <c r="M10" s="16"/>
      <c r="N10" s="23" t="str">
        <f t="shared" ref="N10:N15" si="0">HYPERLINK("http://slimages.macys.com/is/image/MCY/19287430 ")</f>
        <v xml:space="preserve">http://slimages.macys.com/is/image/MCY/19287430 </v>
      </c>
    </row>
    <row r="11" spans="1:14" x14ac:dyDescent="0.25">
      <c r="A11" s="21" t="s">
        <v>1403</v>
      </c>
      <c r="B11" s="16" t="s">
        <v>1404</v>
      </c>
      <c r="C11" s="17">
        <v>1</v>
      </c>
      <c r="D11" s="22">
        <v>44.99</v>
      </c>
      <c r="E11" s="22">
        <v>44.99</v>
      </c>
      <c r="F11" s="17" t="s">
        <v>896</v>
      </c>
      <c r="G11" s="16" t="s">
        <v>57</v>
      </c>
      <c r="H11" s="21" t="s">
        <v>55</v>
      </c>
      <c r="I11" s="16" t="s">
        <v>11</v>
      </c>
      <c r="J11" s="16" t="s">
        <v>28</v>
      </c>
      <c r="K11" s="16" t="s">
        <v>29</v>
      </c>
      <c r="L11" s="16"/>
      <c r="M11" s="16"/>
      <c r="N11" s="23" t="str">
        <f t="shared" si="0"/>
        <v xml:space="preserve">http://slimages.macys.com/is/image/MCY/19287430 </v>
      </c>
    </row>
    <row r="12" spans="1:14" x14ac:dyDescent="0.25">
      <c r="A12" s="21" t="s">
        <v>1401</v>
      </c>
      <c r="B12" s="16" t="s">
        <v>1402</v>
      </c>
      <c r="C12" s="17">
        <v>3</v>
      </c>
      <c r="D12" s="22">
        <v>44.99</v>
      </c>
      <c r="E12" s="22">
        <v>134.97</v>
      </c>
      <c r="F12" s="17" t="s">
        <v>896</v>
      </c>
      <c r="G12" s="16" t="s">
        <v>57</v>
      </c>
      <c r="H12" s="21" t="s">
        <v>27</v>
      </c>
      <c r="I12" s="16" t="s">
        <v>11</v>
      </c>
      <c r="J12" s="16" t="s">
        <v>28</v>
      </c>
      <c r="K12" s="16" t="s">
        <v>29</v>
      </c>
      <c r="L12" s="16"/>
      <c r="M12" s="16"/>
      <c r="N12" s="23" t="str">
        <f t="shared" si="0"/>
        <v xml:space="preserve">http://slimages.macys.com/is/image/MCY/19287430 </v>
      </c>
    </row>
    <row r="13" spans="1:14" x14ac:dyDescent="0.25">
      <c r="A13" s="21" t="s">
        <v>1395</v>
      </c>
      <c r="B13" s="16" t="s">
        <v>1396</v>
      </c>
      <c r="C13" s="17">
        <v>1</v>
      </c>
      <c r="D13" s="22">
        <v>44.99</v>
      </c>
      <c r="E13" s="22">
        <v>44.99</v>
      </c>
      <c r="F13" s="17" t="s">
        <v>896</v>
      </c>
      <c r="G13" s="16" t="s">
        <v>57</v>
      </c>
      <c r="H13" s="21" t="s">
        <v>47</v>
      </c>
      <c r="I13" s="16" t="s">
        <v>11</v>
      </c>
      <c r="J13" s="16" t="s">
        <v>28</v>
      </c>
      <c r="K13" s="16" t="s">
        <v>29</v>
      </c>
      <c r="L13" s="16"/>
      <c r="M13" s="16"/>
      <c r="N13" s="23" t="str">
        <f t="shared" si="0"/>
        <v xml:space="preserve">http://slimages.macys.com/is/image/MCY/19287430 </v>
      </c>
    </row>
    <row r="14" spans="1:14" x14ac:dyDescent="0.25">
      <c r="A14" s="21" t="s">
        <v>1122</v>
      </c>
      <c r="B14" s="16" t="s">
        <v>1123</v>
      </c>
      <c r="C14" s="17">
        <v>1</v>
      </c>
      <c r="D14" s="22">
        <v>44.99</v>
      </c>
      <c r="E14" s="22">
        <v>44.99</v>
      </c>
      <c r="F14" s="17" t="s">
        <v>896</v>
      </c>
      <c r="G14" s="16" t="s">
        <v>57</v>
      </c>
      <c r="H14" s="21" t="s">
        <v>87</v>
      </c>
      <c r="I14" s="16" t="s">
        <v>11</v>
      </c>
      <c r="J14" s="16" t="s">
        <v>28</v>
      </c>
      <c r="K14" s="16" t="s">
        <v>29</v>
      </c>
      <c r="L14" s="16"/>
      <c r="M14" s="16"/>
      <c r="N14" s="23" t="str">
        <f t="shared" si="0"/>
        <v xml:space="preserve">http://slimages.macys.com/is/image/MCY/19287430 </v>
      </c>
    </row>
    <row r="15" spans="1:14" x14ac:dyDescent="0.25">
      <c r="A15" s="21" t="s">
        <v>1399</v>
      </c>
      <c r="B15" s="16" t="s">
        <v>1400</v>
      </c>
      <c r="C15" s="17">
        <v>1</v>
      </c>
      <c r="D15" s="22">
        <v>44.99</v>
      </c>
      <c r="E15" s="22">
        <v>44.99</v>
      </c>
      <c r="F15" s="17" t="s">
        <v>565</v>
      </c>
      <c r="G15" s="16" t="s">
        <v>127</v>
      </c>
      <c r="H15" s="21" t="s">
        <v>32</v>
      </c>
      <c r="I15" s="16" t="s">
        <v>11</v>
      </c>
      <c r="J15" s="16" t="s">
        <v>28</v>
      </c>
      <c r="K15" s="16" t="s">
        <v>29</v>
      </c>
      <c r="L15" s="16"/>
      <c r="M15" s="16"/>
      <c r="N15" s="23" t="str">
        <f t="shared" si="0"/>
        <v xml:space="preserve">http://slimages.macys.com/is/image/MCY/19287430 </v>
      </c>
    </row>
    <row r="16" spans="1:14" x14ac:dyDescent="0.25">
      <c r="A16" s="21" t="s">
        <v>91</v>
      </c>
      <c r="B16" s="16" t="s">
        <v>92</v>
      </c>
      <c r="C16" s="17">
        <v>3</v>
      </c>
      <c r="D16" s="22">
        <v>34.99</v>
      </c>
      <c r="E16" s="22">
        <v>104.97</v>
      </c>
      <c r="F16" s="17" t="s">
        <v>90</v>
      </c>
      <c r="G16" s="16" t="s">
        <v>44</v>
      </c>
      <c r="H16" s="21" t="s">
        <v>27</v>
      </c>
      <c r="I16" s="16" t="s">
        <v>11</v>
      </c>
      <c r="J16" s="16" t="s">
        <v>28</v>
      </c>
      <c r="K16" s="16" t="s">
        <v>29</v>
      </c>
      <c r="L16" s="16"/>
      <c r="M16" s="16"/>
      <c r="N16" s="23" t="str">
        <f>HYPERLINK("http://slimages.macys.com/is/image/MCY/19339149 ")</f>
        <v xml:space="preserve">http://slimages.macys.com/is/image/MCY/19339149 </v>
      </c>
    </row>
    <row r="17" spans="1:14" x14ac:dyDescent="0.25">
      <c r="A17" s="21" t="s">
        <v>1414</v>
      </c>
      <c r="B17" s="16" t="s">
        <v>1415</v>
      </c>
      <c r="C17" s="17">
        <v>1</v>
      </c>
      <c r="D17" s="22">
        <v>34.99</v>
      </c>
      <c r="E17" s="22">
        <v>34.99</v>
      </c>
      <c r="F17" s="17" t="s">
        <v>90</v>
      </c>
      <c r="G17" s="16" t="s">
        <v>44</v>
      </c>
      <c r="H17" s="21" t="s">
        <v>87</v>
      </c>
      <c r="I17" s="16" t="s">
        <v>11</v>
      </c>
      <c r="J17" s="16" t="s">
        <v>28</v>
      </c>
      <c r="K17" s="16" t="s">
        <v>29</v>
      </c>
      <c r="L17" s="16"/>
      <c r="M17" s="16"/>
      <c r="N17" s="23" t="str">
        <f>HYPERLINK("http://slimages.macys.com/is/image/MCY/19339149 ")</f>
        <v xml:space="preserve">http://slimages.macys.com/is/image/MCY/19339149 </v>
      </c>
    </row>
    <row r="18" spans="1:14" x14ac:dyDescent="0.25">
      <c r="A18" s="21" t="s">
        <v>574</v>
      </c>
      <c r="B18" s="16" t="s">
        <v>575</v>
      </c>
      <c r="C18" s="17">
        <v>14</v>
      </c>
      <c r="D18" s="22">
        <v>39.99</v>
      </c>
      <c r="E18" s="22">
        <v>559.86</v>
      </c>
      <c r="F18" s="17" t="s">
        <v>576</v>
      </c>
      <c r="G18" s="16" t="s">
        <v>57</v>
      </c>
      <c r="H18" s="21" t="s">
        <v>27</v>
      </c>
      <c r="I18" s="16" t="s">
        <v>11</v>
      </c>
      <c r="J18" s="16" t="s">
        <v>28</v>
      </c>
      <c r="K18" s="16" t="s">
        <v>29</v>
      </c>
      <c r="L18" s="16"/>
      <c r="M18" s="16"/>
      <c r="N18" s="23" t="str">
        <f>HYPERLINK("http://slimages.macys.com/is/image/MCY/20051271 ")</f>
        <v xml:space="preserve">http://slimages.macys.com/is/image/MCY/20051271 </v>
      </c>
    </row>
    <row r="19" spans="1:14" x14ac:dyDescent="0.25">
      <c r="A19" s="21" t="s">
        <v>1131</v>
      </c>
      <c r="B19" s="16" t="s">
        <v>1132</v>
      </c>
      <c r="C19" s="17">
        <v>2</v>
      </c>
      <c r="D19" s="22">
        <v>25.99</v>
      </c>
      <c r="E19" s="22">
        <v>51.98</v>
      </c>
      <c r="F19" s="17" t="s">
        <v>71</v>
      </c>
      <c r="G19" s="16" t="s">
        <v>31</v>
      </c>
      <c r="H19" s="21" t="s">
        <v>40</v>
      </c>
      <c r="I19" s="16" t="s">
        <v>11</v>
      </c>
      <c r="J19" s="16" t="s">
        <v>28</v>
      </c>
      <c r="K19" s="16" t="s">
        <v>29</v>
      </c>
      <c r="L19" s="16"/>
      <c r="M19" s="16"/>
      <c r="N19" s="23" t="str">
        <f>HYPERLINK("http://slimages.macys.com/is/image/MCY/18574734 ")</f>
        <v xml:space="preserve">http://slimages.macys.com/is/image/MCY/18574734 </v>
      </c>
    </row>
    <row r="20" spans="1:14" x14ac:dyDescent="0.25">
      <c r="A20" s="21" t="s">
        <v>69</v>
      </c>
      <c r="B20" s="16" t="s">
        <v>70</v>
      </c>
      <c r="C20" s="17">
        <v>10</v>
      </c>
      <c r="D20" s="22">
        <v>25.99</v>
      </c>
      <c r="E20" s="22">
        <v>259.89999999999998</v>
      </c>
      <c r="F20" s="17" t="s">
        <v>71</v>
      </c>
      <c r="G20" s="16" t="s">
        <v>31</v>
      </c>
      <c r="H20" s="21" t="s">
        <v>55</v>
      </c>
      <c r="I20" s="16" t="s">
        <v>11</v>
      </c>
      <c r="J20" s="16" t="s">
        <v>28</v>
      </c>
      <c r="K20" s="16" t="s">
        <v>29</v>
      </c>
      <c r="L20" s="16"/>
      <c r="M20" s="16"/>
      <c r="N20" s="23" t="str">
        <f>HYPERLINK("http://slimages.macys.com/is/image/MCY/18574734 ")</f>
        <v xml:space="preserve">http://slimages.macys.com/is/image/MCY/18574734 </v>
      </c>
    </row>
    <row r="21" spans="1:14" x14ac:dyDescent="0.25">
      <c r="A21" s="21" t="s">
        <v>66</v>
      </c>
      <c r="B21" s="16" t="s">
        <v>67</v>
      </c>
      <c r="C21" s="17">
        <v>21</v>
      </c>
      <c r="D21" s="22">
        <v>25.99</v>
      </c>
      <c r="E21" s="22">
        <v>545.79</v>
      </c>
      <c r="F21" s="17" t="s">
        <v>68</v>
      </c>
      <c r="G21" s="16" t="s">
        <v>44</v>
      </c>
      <c r="H21" s="21" t="s">
        <v>40</v>
      </c>
      <c r="I21" s="16" t="s">
        <v>11</v>
      </c>
      <c r="J21" s="16" t="s">
        <v>28</v>
      </c>
      <c r="K21" s="16" t="s">
        <v>29</v>
      </c>
      <c r="L21" s="16"/>
      <c r="M21" s="16"/>
      <c r="N21" s="23" t="str">
        <f>HYPERLINK("http://slimages.macys.com/is/image/MCY/18574734 ")</f>
        <v xml:space="preserve">http://slimages.macys.com/is/image/MCY/18574734 </v>
      </c>
    </row>
    <row r="22" spans="1:14" x14ac:dyDescent="0.25">
      <c r="A22" s="21" t="s">
        <v>572</v>
      </c>
      <c r="B22" s="16" t="s">
        <v>573</v>
      </c>
      <c r="C22" s="17">
        <v>28</v>
      </c>
      <c r="D22" s="22">
        <v>25.99</v>
      </c>
      <c r="E22" s="22">
        <v>727.72</v>
      </c>
      <c r="F22" s="17" t="s">
        <v>68</v>
      </c>
      <c r="G22" s="16" t="s">
        <v>44</v>
      </c>
      <c r="H22" s="21" t="s">
        <v>55</v>
      </c>
      <c r="I22" s="16" t="s">
        <v>11</v>
      </c>
      <c r="J22" s="16" t="s">
        <v>28</v>
      </c>
      <c r="K22" s="16" t="s">
        <v>29</v>
      </c>
      <c r="L22" s="16"/>
      <c r="M22" s="16"/>
      <c r="N22" s="23" t="str">
        <f>HYPERLINK("http://slimages.macys.com/is/image/MCY/18530225 ")</f>
        <v xml:space="preserve">http://slimages.macys.com/is/image/MCY/18530225 </v>
      </c>
    </row>
    <row r="23" spans="1:14" x14ac:dyDescent="0.25">
      <c r="A23" s="21" t="s">
        <v>1391</v>
      </c>
      <c r="B23" s="16" t="s">
        <v>1392</v>
      </c>
      <c r="C23" s="17">
        <v>1</v>
      </c>
      <c r="D23" s="22">
        <v>44.99</v>
      </c>
      <c r="E23" s="22">
        <v>44.99</v>
      </c>
      <c r="F23" s="17" t="s">
        <v>1121</v>
      </c>
      <c r="G23" s="16" t="s">
        <v>120</v>
      </c>
      <c r="H23" s="21" t="s">
        <v>32</v>
      </c>
      <c r="I23" s="16" t="s">
        <v>11</v>
      </c>
      <c r="J23" s="16" t="s">
        <v>28</v>
      </c>
      <c r="K23" s="16" t="s">
        <v>29</v>
      </c>
      <c r="L23" s="16"/>
      <c r="M23" s="16"/>
      <c r="N23" s="23" t="str">
        <f>HYPERLINK("http://slimages.macys.com/is/image/MCY/19710681 ")</f>
        <v xml:space="preserve">http://slimages.macys.com/is/image/MCY/19710681 </v>
      </c>
    </row>
    <row r="24" spans="1:14" x14ac:dyDescent="0.25">
      <c r="A24" s="21" t="s">
        <v>1393</v>
      </c>
      <c r="B24" s="16" t="s">
        <v>1394</v>
      </c>
      <c r="C24" s="17">
        <v>1</v>
      </c>
      <c r="D24" s="22">
        <v>44.99</v>
      </c>
      <c r="E24" s="22">
        <v>44.99</v>
      </c>
      <c r="F24" s="17" t="s">
        <v>25</v>
      </c>
      <c r="G24" s="16" t="s">
        <v>26</v>
      </c>
      <c r="H24" s="21" t="s">
        <v>87</v>
      </c>
      <c r="I24" s="16" t="s">
        <v>11</v>
      </c>
      <c r="J24" s="16" t="s">
        <v>28</v>
      </c>
      <c r="K24" s="16" t="s">
        <v>29</v>
      </c>
      <c r="L24" s="16"/>
      <c r="M24" s="16"/>
      <c r="N24" s="23" t="str">
        <f>HYPERLINK("http://slimages.macys.com/is/image/MCY/19287412 ")</f>
        <v xml:space="preserve">http://slimages.macys.com/is/image/MCY/19287412 </v>
      </c>
    </row>
    <row r="25" spans="1:14" x14ac:dyDescent="0.25">
      <c r="A25" s="21" t="s">
        <v>1579</v>
      </c>
      <c r="B25" s="16" t="s">
        <v>1580</v>
      </c>
      <c r="C25" s="17">
        <v>5</v>
      </c>
      <c r="D25" s="22">
        <v>48.3</v>
      </c>
      <c r="E25" s="22">
        <v>241.5</v>
      </c>
      <c r="F25" s="17" t="s">
        <v>552</v>
      </c>
      <c r="G25" s="16" t="s">
        <v>83</v>
      </c>
      <c r="H25" s="21" t="s">
        <v>227</v>
      </c>
      <c r="I25" s="16" t="s">
        <v>11</v>
      </c>
      <c r="J25" s="16" t="s">
        <v>539</v>
      </c>
      <c r="K25" s="16" t="s">
        <v>551</v>
      </c>
      <c r="L25" s="16"/>
      <c r="M25" s="16"/>
      <c r="N25" s="23" t="str">
        <f>HYPERLINK("http://slimages.macys.com/is/image/MCY/19781798 ")</f>
        <v xml:space="preserve">http://slimages.macys.com/is/image/MCY/19781798 </v>
      </c>
    </row>
    <row r="26" spans="1:14" x14ac:dyDescent="0.25">
      <c r="A26" s="21" t="s">
        <v>1581</v>
      </c>
      <c r="B26" s="16" t="s">
        <v>1582</v>
      </c>
      <c r="C26" s="17">
        <v>5</v>
      </c>
      <c r="D26" s="22">
        <v>48.3</v>
      </c>
      <c r="E26" s="22">
        <v>241.5</v>
      </c>
      <c r="F26" s="17" t="s">
        <v>552</v>
      </c>
      <c r="G26" s="16" t="s">
        <v>137</v>
      </c>
      <c r="H26" s="21" t="s">
        <v>227</v>
      </c>
      <c r="I26" s="16" t="s">
        <v>11</v>
      </c>
      <c r="J26" s="16" t="s">
        <v>539</v>
      </c>
      <c r="K26" s="16" t="s">
        <v>551</v>
      </c>
      <c r="L26" s="16"/>
      <c r="M26" s="16"/>
      <c r="N26" s="23" t="str">
        <f>HYPERLINK("http://slimages.macys.com/is/image/MCY/19781798 ")</f>
        <v xml:space="preserve">http://slimages.macys.com/is/image/MCY/19781798 </v>
      </c>
    </row>
    <row r="27" spans="1:14" x14ac:dyDescent="0.25">
      <c r="A27" s="21" t="s">
        <v>1585</v>
      </c>
      <c r="B27" s="16" t="s">
        <v>1586</v>
      </c>
      <c r="C27" s="17">
        <v>1</v>
      </c>
      <c r="D27" s="22">
        <v>36.75</v>
      </c>
      <c r="E27" s="22">
        <v>36.75</v>
      </c>
      <c r="F27" s="17" t="s">
        <v>1587</v>
      </c>
      <c r="G27" s="16" t="s">
        <v>37</v>
      </c>
      <c r="H27" s="21" t="s">
        <v>27</v>
      </c>
      <c r="I27" s="16" t="s">
        <v>11</v>
      </c>
      <c r="J27" s="16" t="s">
        <v>539</v>
      </c>
      <c r="K27" s="16" t="s">
        <v>1120</v>
      </c>
      <c r="L27" s="16"/>
      <c r="M27" s="16"/>
      <c r="N27" s="23" t="str">
        <f>HYPERLINK("http://slimages.macys.com/is/image/MCY/19063719 ")</f>
        <v xml:space="preserve">http://slimages.macys.com/is/image/MCY/19063719 </v>
      </c>
    </row>
    <row r="28" spans="1:14" x14ac:dyDescent="0.25">
      <c r="A28" s="21" t="s">
        <v>1463</v>
      </c>
      <c r="B28" s="16" t="s">
        <v>1464</v>
      </c>
      <c r="C28" s="17">
        <v>1</v>
      </c>
      <c r="D28" s="22">
        <v>64</v>
      </c>
      <c r="E28" s="22">
        <v>64</v>
      </c>
      <c r="F28" s="17" t="s">
        <v>345</v>
      </c>
      <c r="G28" s="16" t="s">
        <v>82</v>
      </c>
      <c r="H28" s="21" t="s">
        <v>231</v>
      </c>
      <c r="I28" s="16" t="s">
        <v>11</v>
      </c>
      <c r="J28" s="16" t="s">
        <v>343</v>
      </c>
      <c r="K28" s="16" t="s">
        <v>344</v>
      </c>
      <c r="L28" s="16"/>
      <c r="M28" s="16"/>
      <c r="N28" s="23" t="str">
        <f>HYPERLINK("http://slimages.macys.com/is/image/MCY/19262064 ")</f>
        <v xml:space="preserve">http://slimages.macys.com/is/image/MCY/19262064 </v>
      </c>
    </row>
    <row r="29" spans="1:14" x14ac:dyDescent="0.25">
      <c r="A29" s="21" t="s">
        <v>1572</v>
      </c>
      <c r="B29" s="16" t="s">
        <v>1573</v>
      </c>
      <c r="C29" s="17">
        <v>1</v>
      </c>
      <c r="D29" s="22">
        <v>62</v>
      </c>
      <c r="E29" s="22">
        <v>62</v>
      </c>
      <c r="F29" s="17" t="s">
        <v>1574</v>
      </c>
      <c r="G29" s="16" t="s">
        <v>78</v>
      </c>
      <c r="H29" s="21" t="s">
        <v>227</v>
      </c>
      <c r="I29" s="16" t="s">
        <v>11</v>
      </c>
      <c r="J29" s="16" t="s">
        <v>539</v>
      </c>
      <c r="K29" s="16" t="s">
        <v>540</v>
      </c>
      <c r="L29" s="16"/>
      <c r="M29" s="16"/>
      <c r="N29" s="23" t="str">
        <f>HYPERLINK("http://slimages.macys.com/is/image/MCY/20181416 ")</f>
        <v xml:space="preserve">http://slimages.macys.com/is/image/MCY/20181416 </v>
      </c>
    </row>
    <row r="30" spans="1:14" x14ac:dyDescent="0.25">
      <c r="A30" s="21" t="s">
        <v>1434</v>
      </c>
      <c r="B30" s="16" t="s">
        <v>1435</v>
      </c>
      <c r="C30" s="17">
        <v>2</v>
      </c>
      <c r="D30" s="22">
        <v>32.99</v>
      </c>
      <c r="E30" s="22">
        <v>65.98</v>
      </c>
      <c r="F30" s="17">
        <v>100108563</v>
      </c>
      <c r="G30" s="16" t="s">
        <v>62</v>
      </c>
      <c r="H30" s="21" t="s">
        <v>32</v>
      </c>
      <c r="I30" s="16" t="s">
        <v>11</v>
      </c>
      <c r="J30" s="16" t="s">
        <v>260</v>
      </c>
      <c r="K30" s="16" t="s">
        <v>261</v>
      </c>
      <c r="L30" s="16"/>
      <c r="M30" s="16"/>
      <c r="N30" s="23" t="str">
        <f>HYPERLINK("http://slimages.macys.com/is/image/MCY/17881447 ")</f>
        <v xml:space="preserve">http://slimages.macys.com/is/image/MCY/17881447 </v>
      </c>
    </row>
    <row r="31" spans="1:14" x14ac:dyDescent="0.25">
      <c r="A31" s="21" t="s">
        <v>1502</v>
      </c>
      <c r="B31" s="16" t="s">
        <v>1503</v>
      </c>
      <c r="C31" s="17">
        <v>1</v>
      </c>
      <c r="D31" s="22">
        <v>34</v>
      </c>
      <c r="E31" s="22">
        <v>34</v>
      </c>
      <c r="F31" s="17">
        <v>900633</v>
      </c>
      <c r="G31" s="16" t="s">
        <v>31</v>
      </c>
      <c r="H31" s="21" t="s">
        <v>40</v>
      </c>
      <c r="I31" s="16" t="s">
        <v>11</v>
      </c>
      <c r="J31" s="16" t="s">
        <v>343</v>
      </c>
      <c r="K31" s="16" t="s">
        <v>354</v>
      </c>
      <c r="L31" s="16"/>
      <c r="M31" s="16"/>
      <c r="N31" s="23" t="str">
        <f t="shared" ref="N31:N36" si="1">HYPERLINK("http://slimages.macys.com/is/image/MCY/19539433 ")</f>
        <v xml:space="preserve">http://slimages.macys.com/is/image/MCY/19539433 </v>
      </c>
    </row>
    <row r="32" spans="1:14" x14ac:dyDescent="0.25">
      <c r="A32" s="21" t="s">
        <v>373</v>
      </c>
      <c r="B32" s="16" t="s">
        <v>374</v>
      </c>
      <c r="C32" s="17">
        <v>5</v>
      </c>
      <c r="D32" s="22">
        <v>34</v>
      </c>
      <c r="E32" s="22">
        <v>170</v>
      </c>
      <c r="F32" s="17">
        <v>900633</v>
      </c>
      <c r="G32" s="16" t="s">
        <v>31</v>
      </c>
      <c r="H32" s="21" t="s">
        <v>27</v>
      </c>
      <c r="I32" s="16" t="s">
        <v>11</v>
      </c>
      <c r="J32" s="16" t="s">
        <v>343</v>
      </c>
      <c r="K32" s="16" t="s">
        <v>354</v>
      </c>
      <c r="L32" s="16"/>
      <c r="M32" s="16"/>
      <c r="N32" s="23" t="str">
        <f t="shared" si="1"/>
        <v xml:space="preserve">http://slimages.macys.com/is/image/MCY/19539433 </v>
      </c>
    </row>
    <row r="33" spans="1:14" x14ac:dyDescent="0.25">
      <c r="A33" s="21" t="s">
        <v>1500</v>
      </c>
      <c r="B33" s="16" t="s">
        <v>1501</v>
      </c>
      <c r="C33" s="17">
        <v>1</v>
      </c>
      <c r="D33" s="22">
        <v>34</v>
      </c>
      <c r="E33" s="22">
        <v>34</v>
      </c>
      <c r="F33" s="17">
        <v>900633</v>
      </c>
      <c r="G33" s="16" t="s">
        <v>488</v>
      </c>
      <c r="H33" s="21" t="s">
        <v>32</v>
      </c>
      <c r="I33" s="16" t="s">
        <v>11</v>
      </c>
      <c r="J33" s="16" t="s">
        <v>343</v>
      </c>
      <c r="K33" s="16" t="s">
        <v>354</v>
      </c>
      <c r="L33" s="16"/>
      <c r="M33" s="16"/>
      <c r="N33" s="23" t="str">
        <f t="shared" si="1"/>
        <v xml:space="preserve">http://slimages.macys.com/is/image/MCY/19539433 </v>
      </c>
    </row>
    <row r="34" spans="1:14" x14ac:dyDescent="0.25">
      <c r="A34" s="21" t="s">
        <v>1504</v>
      </c>
      <c r="B34" s="16" t="s">
        <v>1505</v>
      </c>
      <c r="C34" s="17">
        <v>15</v>
      </c>
      <c r="D34" s="22">
        <v>34</v>
      </c>
      <c r="E34" s="22">
        <v>510</v>
      </c>
      <c r="F34" s="17">
        <v>900633</v>
      </c>
      <c r="G34" s="16" t="s">
        <v>488</v>
      </c>
      <c r="H34" s="21" t="s">
        <v>40</v>
      </c>
      <c r="I34" s="16" t="s">
        <v>11</v>
      </c>
      <c r="J34" s="16" t="s">
        <v>343</v>
      </c>
      <c r="K34" s="16" t="s">
        <v>354</v>
      </c>
      <c r="L34" s="16"/>
      <c r="M34" s="16"/>
      <c r="N34" s="23" t="str">
        <f t="shared" si="1"/>
        <v xml:space="preserve">http://slimages.macys.com/is/image/MCY/19539433 </v>
      </c>
    </row>
    <row r="35" spans="1:14" x14ac:dyDescent="0.25">
      <c r="A35" s="21" t="s">
        <v>1498</v>
      </c>
      <c r="B35" s="16" t="s">
        <v>1499</v>
      </c>
      <c r="C35" s="17">
        <v>1</v>
      </c>
      <c r="D35" s="22">
        <v>34</v>
      </c>
      <c r="E35" s="22">
        <v>34</v>
      </c>
      <c r="F35" s="17">
        <v>900633</v>
      </c>
      <c r="G35" s="16" t="s">
        <v>488</v>
      </c>
      <c r="H35" s="21" t="s">
        <v>55</v>
      </c>
      <c r="I35" s="16" t="s">
        <v>11</v>
      </c>
      <c r="J35" s="16" t="s">
        <v>343</v>
      </c>
      <c r="K35" s="16" t="s">
        <v>354</v>
      </c>
      <c r="L35" s="16"/>
      <c r="M35" s="16"/>
      <c r="N35" s="23" t="str">
        <f t="shared" si="1"/>
        <v xml:space="preserve">http://slimages.macys.com/is/image/MCY/19539433 </v>
      </c>
    </row>
    <row r="36" spans="1:14" x14ac:dyDescent="0.25">
      <c r="A36" s="21" t="s">
        <v>1506</v>
      </c>
      <c r="B36" s="16" t="s">
        <v>1507</v>
      </c>
      <c r="C36" s="17">
        <v>7</v>
      </c>
      <c r="D36" s="22">
        <v>34</v>
      </c>
      <c r="E36" s="22">
        <v>238</v>
      </c>
      <c r="F36" s="17">
        <v>900633</v>
      </c>
      <c r="G36" s="16" t="s">
        <v>488</v>
      </c>
      <c r="H36" s="21" t="s">
        <v>27</v>
      </c>
      <c r="I36" s="16" t="s">
        <v>11</v>
      </c>
      <c r="J36" s="16" t="s">
        <v>343</v>
      </c>
      <c r="K36" s="16" t="s">
        <v>354</v>
      </c>
      <c r="L36" s="16"/>
      <c r="M36" s="16"/>
      <c r="N36" s="23" t="str">
        <f t="shared" si="1"/>
        <v xml:space="preserve">http://slimages.macys.com/is/image/MCY/19539433 </v>
      </c>
    </row>
    <row r="37" spans="1:14" x14ac:dyDescent="0.25">
      <c r="A37" s="21" t="s">
        <v>1469</v>
      </c>
      <c r="B37" s="16" t="s">
        <v>1470</v>
      </c>
      <c r="C37" s="17">
        <v>1</v>
      </c>
      <c r="D37" s="22">
        <v>58</v>
      </c>
      <c r="E37" s="22">
        <v>58</v>
      </c>
      <c r="F37" s="17">
        <v>900647</v>
      </c>
      <c r="G37" s="16" t="s">
        <v>488</v>
      </c>
      <c r="H37" s="21" t="s">
        <v>40</v>
      </c>
      <c r="I37" s="16" t="s">
        <v>11</v>
      </c>
      <c r="J37" s="16" t="s">
        <v>343</v>
      </c>
      <c r="K37" s="16" t="s">
        <v>354</v>
      </c>
      <c r="L37" s="16"/>
      <c r="M37" s="16"/>
      <c r="N37" s="23" t="str">
        <f>HYPERLINK("http://slimages.macys.com/is/image/MCY/19539364 ")</f>
        <v xml:space="preserve">http://slimages.macys.com/is/image/MCY/19539364 </v>
      </c>
    </row>
    <row r="38" spans="1:14" x14ac:dyDescent="0.25">
      <c r="A38" s="21" t="s">
        <v>1244</v>
      </c>
      <c r="B38" s="16" t="s">
        <v>1245</v>
      </c>
      <c r="C38" s="17">
        <v>2</v>
      </c>
      <c r="D38" s="22">
        <v>58</v>
      </c>
      <c r="E38" s="22">
        <v>116</v>
      </c>
      <c r="F38" s="17">
        <v>900647</v>
      </c>
      <c r="G38" s="16" t="s">
        <v>488</v>
      </c>
      <c r="H38" s="21" t="s">
        <v>27</v>
      </c>
      <c r="I38" s="16" t="s">
        <v>11</v>
      </c>
      <c r="J38" s="16" t="s">
        <v>343</v>
      </c>
      <c r="K38" s="16" t="s">
        <v>354</v>
      </c>
      <c r="L38" s="16"/>
      <c r="M38" s="16"/>
      <c r="N38" s="23" t="str">
        <f>HYPERLINK("http://slimages.macys.com/is/image/MCY/19539364 ")</f>
        <v xml:space="preserve">http://slimages.macys.com/is/image/MCY/19539364 </v>
      </c>
    </row>
    <row r="39" spans="1:14" x14ac:dyDescent="0.25">
      <c r="A39" s="21" t="s">
        <v>1471</v>
      </c>
      <c r="B39" s="16" t="s">
        <v>1472</v>
      </c>
      <c r="C39" s="17">
        <v>1</v>
      </c>
      <c r="D39" s="22">
        <v>58</v>
      </c>
      <c r="E39" s="22">
        <v>58</v>
      </c>
      <c r="F39" s="17">
        <v>900635</v>
      </c>
      <c r="G39" s="16" t="s">
        <v>31</v>
      </c>
      <c r="H39" s="21" t="s">
        <v>27</v>
      </c>
      <c r="I39" s="16" t="s">
        <v>11</v>
      </c>
      <c r="J39" s="16" t="s">
        <v>343</v>
      </c>
      <c r="K39" s="16" t="s">
        <v>354</v>
      </c>
      <c r="L39" s="16"/>
      <c r="M39" s="16"/>
      <c r="N39" s="23" t="str">
        <f>HYPERLINK("http://slimages.macys.com/is/image/MCY/19539395 ")</f>
        <v xml:space="preserve">http://slimages.macys.com/is/image/MCY/19539395 </v>
      </c>
    </row>
    <row r="40" spans="1:14" x14ac:dyDescent="0.25">
      <c r="A40" s="21" t="s">
        <v>1473</v>
      </c>
      <c r="B40" s="16" t="s">
        <v>1474</v>
      </c>
      <c r="C40" s="17">
        <v>1</v>
      </c>
      <c r="D40" s="22">
        <v>48</v>
      </c>
      <c r="E40" s="22">
        <v>48</v>
      </c>
      <c r="F40" s="17">
        <v>900626</v>
      </c>
      <c r="G40" s="16" t="s">
        <v>44</v>
      </c>
      <c r="H40" s="21" t="s">
        <v>40</v>
      </c>
      <c r="I40" s="16" t="s">
        <v>11</v>
      </c>
      <c r="J40" s="16" t="s">
        <v>343</v>
      </c>
      <c r="K40" s="16" t="s">
        <v>354</v>
      </c>
      <c r="L40" s="16"/>
      <c r="M40" s="16"/>
      <c r="N40" s="23" t="str">
        <f>HYPERLINK("http://slimages.macys.com/is/image/MCY/19735420 ")</f>
        <v xml:space="preserve">http://slimages.macys.com/is/image/MCY/19735420 </v>
      </c>
    </row>
    <row r="41" spans="1:14" x14ac:dyDescent="0.25">
      <c r="A41" s="21" t="s">
        <v>1426</v>
      </c>
      <c r="B41" s="16" t="s">
        <v>1427</v>
      </c>
      <c r="C41" s="17">
        <v>1</v>
      </c>
      <c r="D41" s="22">
        <v>51</v>
      </c>
      <c r="E41" s="22">
        <v>51</v>
      </c>
      <c r="F41" s="17" t="s">
        <v>1428</v>
      </c>
      <c r="G41" s="16" t="s">
        <v>124</v>
      </c>
      <c r="H41" s="21" t="s">
        <v>55</v>
      </c>
      <c r="I41" s="16" t="s">
        <v>11</v>
      </c>
      <c r="J41" s="16" t="s">
        <v>240</v>
      </c>
      <c r="K41" s="16" t="s">
        <v>241</v>
      </c>
      <c r="L41" s="16"/>
      <c r="M41" s="16"/>
      <c r="N41" s="23" t="str">
        <f>HYPERLINK("http://slimages.macys.com/is/image/MCY/19630704 ")</f>
        <v xml:space="preserve">http://slimages.macys.com/is/image/MCY/19630704 </v>
      </c>
    </row>
    <row r="42" spans="1:14" x14ac:dyDescent="0.25">
      <c r="A42" s="21" t="s">
        <v>1429</v>
      </c>
      <c r="B42" s="16" t="s">
        <v>1430</v>
      </c>
      <c r="C42" s="17">
        <v>1</v>
      </c>
      <c r="D42" s="22">
        <v>51</v>
      </c>
      <c r="E42" s="22">
        <v>51</v>
      </c>
      <c r="F42" s="17" t="s">
        <v>1190</v>
      </c>
      <c r="G42" s="16" t="s">
        <v>78</v>
      </c>
      <c r="H42" s="21" t="s">
        <v>40</v>
      </c>
      <c r="I42" s="16" t="s">
        <v>11</v>
      </c>
      <c r="J42" s="16" t="s">
        <v>240</v>
      </c>
      <c r="K42" s="16" t="s">
        <v>241</v>
      </c>
      <c r="L42" s="16"/>
      <c r="M42" s="16"/>
      <c r="N42" s="23" t="str">
        <f>HYPERLINK("http://slimages.macys.com/is/image/MCY/19659159 ")</f>
        <v xml:space="preserve">http://slimages.macys.com/is/image/MCY/19659159 </v>
      </c>
    </row>
    <row r="43" spans="1:14" x14ac:dyDescent="0.25">
      <c r="A43" s="21" t="s">
        <v>1420</v>
      </c>
      <c r="B43" s="16" t="s">
        <v>1421</v>
      </c>
      <c r="C43" s="17">
        <v>1</v>
      </c>
      <c r="D43" s="22">
        <v>54</v>
      </c>
      <c r="E43" s="22">
        <v>54</v>
      </c>
      <c r="F43" s="17" t="s">
        <v>978</v>
      </c>
      <c r="G43" s="16" t="s">
        <v>107</v>
      </c>
      <c r="H43" s="21" t="s">
        <v>40</v>
      </c>
      <c r="I43" s="16" t="s">
        <v>11</v>
      </c>
      <c r="J43" s="16" t="s">
        <v>240</v>
      </c>
      <c r="K43" s="16" t="s">
        <v>241</v>
      </c>
      <c r="L43" s="16"/>
      <c r="M43" s="16"/>
      <c r="N43" s="23" t="str">
        <f>HYPERLINK("http://slimages.macys.com/is/image/MCY/19903944 ")</f>
        <v xml:space="preserve">http://slimages.macys.com/is/image/MCY/19903944 </v>
      </c>
    </row>
    <row r="44" spans="1:14" x14ac:dyDescent="0.25">
      <c r="A44" s="21" t="s">
        <v>1185</v>
      </c>
      <c r="B44" s="16" t="s">
        <v>1186</v>
      </c>
      <c r="C44" s="17">
        <v>1</v>
      </c>
      <c r="D44" s="22">
        <v>54</v>
      </c>
      <c r="E44" s="22">
        <v>54</v>
      </c>
      <c r="F44" s="17" t="s">
        <v>978</v>
      </c>
      <c r="G44" s="16" t="s">
        <v>107</v>
      </c>
      <c r="H44" s="21" t="s">
        <v>27</v>
      </c>
      <c r="I44" s="16" t="s">
        <v>11</v>
      </c>
      <c r="J44" s="16" t="s">
        <v>240</v>
      </c>
      <c r="K44" s="16" t="s">
        <v>241</v>
      </c>
      <c r="L44" s="16"/>
      <c r="M44" s="16"/>
      <c r="N44" s="23" t="str">
        <f>HYPERLINK("http://slimages.macys.com/is/image/MCY/19903944 ")</f>
        <v xml:space="preserve">http://slimages.macys.com/is/image/MCY/19903944 </v>
      </c>
    </row>
    <row r="45" spans="1:14" x14ac:dyDescent="0.25">
      <c r="A45" s="21" t="s">
        <v>1422</v>
      </c>
      <c r="B45" s="16" t="s">
        <v>1423</v>
      </c>
      <c r="C45" s="17">
        <v>1</v>
      </c>
      <c r="D45" s="22">
        <v>51</v>
      </c>
      <c r="E45" s="22">
        <v>51</v>
      </c>
      <c r="F45" s="17" t="s">
        <v>1189</v>
      </c>
      <c r="G45" s="16" t="s">
        <v>137</v>
      </c>
      <c r="H45" s="21" t="s">
        <v>32</v>
      </c>
      <c r="I45" s="16" t="s">
        <v>11</v>
      </c>
      <c r="J45" s="16" t="s">
        <v>240</v>
      </c>
      <c r="K45" s="16" t="s">
        <v>241</v>
      </c>
      <c r="L45" s="16"/>
      <c r="M45" s="16"/>
      <c r="N45" s="23" t="str">
        <f>HYPERLINK("http://slimages.macys.com/is/image/MCY/19783793 ")</f>
        <v xml:space="preserve">http://slimages.macys.com/is/image/MCY/19783793 </v>
      </c>
    </row>
    <row r="46" spans="1:14" x14ac:dyDescent="0.25">
      <c r="A46" s="21" t="s">
        <v>1424</v>
      </c>
      <c r="B46" s="16" t="s">
        <v>1425</v>
      </c>
      <c r="C46" s="17">
        <v>1</v>
      </c>
      <c r="D46" s="22">
        <v>51</v>
      </c>
      <c r="E46" s="22">
        <v>51</v>
      </c>
      <c r="F46" s="17" t="s">
        <v>1189</v>
      </c>
      <c r="G46" s="16" t="s">
        <v>137</v>
      </c>
      <c r="H46" s="21" t="s">
        <v>27</v>
      </c>
      <c r="I46" s="16" t="s">
        <v>11</v>
      </c>
      <c r="J46" s="16" t="s">
        <v>240</v>
      </c>
      <c r="K46" s="16" t="s">
        <v>241</v>
      </c>
      <c r="L46" s="16"/>
      <c r="M46" s="16"/>
      <c r="N46" s="23" t="str">
        <f>HYPERLINK("http://slimages.macys.com/is/image/MCY/19783793 ")</f>
        <v xml:space="preserve">http://slimages.macys.com/is/image/MCY/19783793 </v>
      </c>
    </row>
    <row r="47" spans="1:14" x14ac:dyDescent="0.25">
      <c r="A47" s="21" t="s">
        <v>1043</v>
      </c>
      <c r="B47" s="16" t="s">
        <v>1044</v>
      </c>
      <c r="C47" s="17">
        <v>1</v>
      </c>
      <c r="D47" s="22">
        <v>28.99</v>
      </c>
      <c r="E47" s="22">
        <v>28.99</v>
      </c>
      <c r="F47" s="17" t="s">
        <v>389</v>
      </c>
      <c r="G47" s="16" t="s">
        <v>31</v>
      </c>
      <c r="H47" s="21" t="s">
        <v>55</v>
      </c>
      <c r="I47" s="16" t="s">
        <v>11</v>
      </c>
      <c r="J47" s="16" t="s">
        <v>343</v>
      </c>
      <c r="K47" s="16" t="s">
        <v>372</v>
      </c>
      <c r="L47" s="16"/>
      <c r="M47" s="16"/>
      <c r="N47" s="23" t="str">
        <f>HYPERLINK("http://slimages.macys.com/is/image/MCY/20468762 ")</f>
        <v xml:space="preserve">http://slimages.macys.com/is/image/MCY/20468762 </v>
      </c>
    </row>
    <row r="48" spans="1:14" x14ac:dyDescent="0.25">
      <c r="A48" s="21" t="s">
        <v>1479</v>
      </c>
      <c r="B48" s="16" t="s">
        <v>1480</v>
      </c>
      <c r="C48" s="17">
        <v>6</v>
      </c>
      <c r="D48" s="22">
        <v>64</v>
      </c>
      <c r="E48" s="22">
        <v>384</v>
      </c>
      <c r="F48" s="17" t="s">
        <v>1481</v>
      </c>
      <c r="G48" s="16" t="s">
        <v>31</v>
      </c>
      <c r="H48" s="21" t="s">
        <v>40</v>
      </c>
      <c r="I48" s="16" t="s">
        <v>11</v>
      </c>
      <c r="J48" s="16" t="s">
        <v>343</v>
      </c>
      <c r="K48" s="16" t="s">
        <v>372</v>
      </c>
      <c r="L48" s="16"/>
      <c r="M48" s="16"/>
      <c r="N48" s="23" t="str">
        <f>HYPERLINK("http://slimages.macys.com/is/image/MCY/20341245 ")</f>
        <v xml:space="preserve">http://slimages.macys.com/is/image/MCY/20341245 </v>
      </c>
    </row>
    <row r="49" spans="1:14" x14ac:dyDescent="0.25">
      <c r="A49" s="21" t="s">
        <v>1477</v>
      </c>
      <c r="B49" s="16" t="s">
        <v>1478</v>
      </c>
      <c r="C49" s="17">
        <v>6</v>
      </c>
      <c r="D49" s="22">
        <v>64</v>
      </c>
      <c r="E49" s="22">
        <v>384</v>
      </c>
      <c r="F49" s="17" t="s">
        <v>1248</v>
      </c>
      <c r="G49" s="16" t="s">
        <v>102</v>
      </c>
      <c r="H49" s="21" t="s">
        <v>32</v>
      </c>
      <c r="I49" s="16" t="s">
        <v>11</v>
      </c>
      <c r="J49" s="16" t="s">
        <v>343</v>
      </c>
      <c r="K49" s="16" t="s">
        <v>372</v>
      </c>
      <c r="L49" s="16"/>
      <c r="M49" s="16"/>
      <c r="N49" s="23" t="str">
        <f>HYPERLINK("http://slimages.macys.com/is/image/MCY/20341256 ")</f>
        <v xml:space="preserve">http://slimages.macys.com/is/image/MCY/20341256 </v>
      </c>
    </row>
    <row r="50" spans="1:14" x14ac:dyDescent="0.25">
      <c r="A50" s="21" t="s">
        <v>1475</v>
      </c>
      <c r="B50" s="16" t="s">
        <v>1476</v>
      </c>
      <c r="C50" s="17">
        <v>10</v>
      </c>
      <c r="D50" s="22">
        <v>64</v>
      </c>
      <c r="E50" s="22">
        <v>640</v>
      </c>
      <c r="F50" s="17" t="s">
        <v>1248</v>
      </c>
      <c r="G50" s="16" t="s">
        <v>102</v>
      </c>
      <c r="H50" s="21" t="s">
        <v>40</v>
      </c>
      <c r="I50" s="16" t="s">
        <v>11</v>
      </c>
      <c r="J50" s="16" t="s">
        <v>343</v>
      </c>
      <c r="K50" s="16" t="s">
        <v>372</v>
      </c>
      <c r="L50" s="16"/>
      <c r="M50" s="16"/>
      <c r="N50" s="23" t="str">
        <f>HYPERLINK("http://slimages.macys.com/is/image/MCY/20341256 ")</f>
        <v xml:space="preserve">http://slimages.macys.com/is/image/MCY/20341256 </v>
      </c>
    </row>
    <row r="51" spans="1:14" x14ac:dyDescent="0.25">
      <c r="A51" s="21" t="s">
        <v>1436</v>
      </c>
      <c r="B51" s="16" t="s">
        <v>1437</v>
      </c>
      <c r="C51" s="17">
        <v>2</v>
      </c>
      <c r="D51" s="22">
        <v>39.99</v>
      </c>
      <c r="E51" s="22">
        <v>79.98</v>
      </c>
      <c r="F51" s="17" t="s">
        <v>733</v>
      </c>
      <c r="G51" s="16" t="s">
        <v>205</v>
      </c>
      <c r="H51" s="21" t="s">
        <v>27</v>
      </c>
      <c r="I51" s="16" t="s">
        <v>11</v>
      </c>
      <c r="J51" s="16" t="s">
        <v>263</v>
      </c>
      <c r="K51" s="16" t="s">
        <v>264</v>
      </c>
      <c r="L51" s="16" t="s">
        <v>111</v>
      </c>
      <c r="M51" s="16" t="s">
        <v>734</v>
      </c>
      <c r="N51" s="23" t="str">
        <f>HYPERLINK("http://slimages.macys.com/is/image/MCY/19222683 ")</f>
        <v xml:space="preserve">http://slimages.macys.com/is/image/MCY/19222683 </v>
      </c>
    </row>
    <row r="52" spans="1:14" x14ac:dyDescent="0.25">
      <c r="A52" s="21" t="s">
        <v>1487</v>
      </c>
      <c r="B52" s="16" t="s">
        <v>1488</v>
      </c>
      <c r="C52" s="17">
        <v>1</v>
      </c>
      <c r="D52" s="22">
        <v>34</v>
      </c>
      <c r="E52" s="22">
        <v>34</v>
      </c>
      <c r="F52" s="17" t="s">
        <v>1486</v>
      </c>
      <c r="G52" s="16" t="s">
        <v>225</v>
      </c>
      <c r="H52" s="21" t="s">
        <v>32</v>
      </c>
      <c r="I52" s="16" t="s">
        <v>11</v>
      </c>
      <c r="J52" s="16" t="s">
        <v>343</v>
      </c>
      <c r="K52" s="16" t="s">
        <v>366</v>
      </c>
      <c r="L52" s="16"/>
      <c r="M52" s="16"/>
      <c r="N52" s="23" t="str">
        <f>HYPERLINK("http://slimages.macys.com/is/image/MCY/19673104 ")</f>
        <v xml:space="preserve">http://slimages.macys.com/is/image/MCY/19673104 </v>
      </c>
    </row>
    <row r="53" spans="1:14" x14ac:dyDescent="0.25">
      <c r="A53" s="21" t="s">
        <v>1484</v>
      </c>
      <c r="B53" s="16" t="s">
        <v>1485</v>
      </c>
      <c r="C53" s="17">
        <v>1</v>
      </c>
      <c r="D53" s="22">
        <v>34</v>
      </c>
      <c r="E53" s="22">
        <v>34</v>
      </c>
      <c r="F53" s="17" t="s">
        <v>1486</v>
      </c>
      <c r="G53" s="16" t="s">
        <v>225</v>
      </c>
      <c r="H53" s="21" t="s">
        <v>55</v>
      </c>
      <c r="I53" s="16" t="s">
        <v>11</v>
      </c>
      <c r="J53" s="16" t="s">
        <v>343</v>
      </c>
      <c r="K53" s="16" t="s">
        <v>366</v>
      </c>
      <c r="L53" s="16"/>
      <c r="M53" s="16"/>
      <c r="N53" s="23" t="str">
        <f>HYPERLINK("http://slimages.macys.com/is/image/MCY/19673104 ")</f>
        <v xml:space="preserve">http://slimages.macys.com/is/image/MCY/19673104 </v>
      </c>
    </row>
    <row r="54" spans="1:14" x14ac:dyDescent="0.25">
      <c r="A54" s="21" t="s">
        <v>1489</v>
      </c>
      <c r="B54" s="16" t="s">
        <v>1490</v>
      </c>
      <c r="C54" s="17">
        <v>10</v>
      </c>
      <c r="D54" s="22">
        <v>34</v>
      </c>
      <c r="E54" s="22">
        <v>340</v>
      </c>
      <c r="F54" s="17" t="s">
        <v>1252</v>
      </c>
      <c r="G54" s="16" t="s">
        <v>122</v>
      </c>
      <c r="H54" s="21" t="s">
        <v>32</v>
      </c>
      <c r="I54" s="16" t="s">
        <v>11</v>
      </c>
      <c r="J54" s="16" t="s">
        <v>343</v>
      </c>
      <c r="K54" s="16" t="s">
        <v>366</v>
      </c>
      <c r="L54" s="16"/>
      <c r="M54" s="16"/>
      <c r="N54" s="23" t="str">
        <f>HYPERLINK("http://slimages.macys.com/is/image/MCY/19672906 ")</f>
        <v xml:space="preserve">http://slimages.macys.com/is/image/MCY/19672906 </v>
      </c>
    </row>
    <row r="55" spans="1:14" x14ac:dyDescent="0.25">
      <c r="A55" s="21" t="s">
        <v>1491</v>
      </c>
      <c r="B55" s="16" t="s">
        <v>1492</v>
      </c>
      <c r="C55" s="17">
        <v>13</v>
      </c>
      <c r="D55" s="22">
        <v>34</v>
      </c>
      <c r="E55" s="22">
        <v>442</v>
      </c>
      <c r="F55" s="17" t="s">
        <v>1252</v>
      </c>
      <c r="G55" s="16" t="s">
        <v>122</v>
      </c>
      <c r="H55" s="21" t="s">
        <v>40</v>
      </c>
      <c r="I55" s="16" t="s">
        <v>11</v>
      </c>
      <c r="J55" s="16" t="s">
        <v>343</v>
      </c>
      <c r="K55" s="16" t="s">
        <v>366</v>
      </c>
      <c r="L55" s="16"/>
      <c r="M55" s="16"/>
      <c r="N55" s="23" t="str">
        <f>HYPERLINK("http://slimages.macys.com/is/image/MCY/19672906 ")</f>
        <v xml:space="preserve">http://slimages.macys.com/is/image/MCY/19672906 </v>
      </c>
    </row>
    <row r="56" spans="1:14" x14ac:dyDescent="0.25">
      <c r="A56" s="21" t="s">
        <v>1495</v>
      </c>
      <c r="B56" s="16" t="s">
        <v>1496</v>
      </c>
      <c r="C56" s="17">
        <v>2</v>
      </c>
      <c r="D56" s="22">
        <v>32</v>
      </c>
      <c r="E56" s="22">
        <v>64</v>
      </c>
      <c r="F56" s="17" t="s">
        <v>1497</v>
      </c>
      <c r="G56" s="16" t="s">
        <v>124</v>
      </c>
      <c r="H56" s="21" t="s">
        <v>40</v>
      </c>
      <c r="I56" s="16" t="s">
        <v>11</v>
      </c>
      <c r="J56" s="16" t="s">
        <v>343</v>
      </c>
      <c r="K56" s="16" t="s">
        <v>366</v>
      </c>
      <c r="L56" s="16"/>
      <c r="M56" s="16"/>
      <c r="N56" s="23" t="str">
        <f>HYPERLINK("http://slimages.macys.com/is/image/MCY/19306154 ")</f>
        <v xml:space="preserve">http://slimages.macys.com/is/image/MCY/19306154 </v>
      </c>
    </row>
    <row r="57" spans="1:14" x14ac:dyDescent="0.25">
      <c r="A57" s="21" t="s">
        <v>1493</v>
      </c>
      <c r="B57" s="16" t="s">
        <v>1494</v>
      </c>
      <c r="C57" s="17">
        <v>6</v>
      </c>
      <c r="D57" s="22">
        <v>34</v>
      </c>
      <c r="E57" s="22">
        <v>204</v>
      </c>
      <c r="F57" s="17" t="s">
        <v>365</v>
      </c>
      <c r="G57" s="16" t="s">
        <v>44</v>
      </c>
      <c r="H57" s="21" t="s">
        <v>32</v>
      </c>
      <c r="I57" s="16" t="s">
        <v>11</v>
      </c>
      <c r="J57" s="16" t="s">
        <v>343</v>
      </c>
      <c r="K57" s="16" t="s">
        <v>366</v>
      </c>
      <c r="L57" s="16"/>
      <c r="M57" s="16"/>
      <c r="N57" s="23" t="str">
        <f>HYPERLINK("http://slimages.macys.com/is/image/MCY/20072217 ")</f>
        <v xml:space="preserve">http://slimages.macys.com/is/image/MCY/20072217 </v>
      </c>
    </row>
    <row r="58" spans="1:14" x14ac:dyDescent="0.25">
      <c r="A58" s="21" t="s">
        <v>1482</v>
      </c>
      <c r="B58" s="16" t="s">
        <v>1483</v>
      </c>
      <c r="C58" s="17">
        <v>10</v>
      </c>
      <c r="D58" s="22">
        <v>34</v>
      </c>
      <c r="E58" s="22">
        <v>340</v>
      </c>
      <c r="F58" s="17" t="s">
        <v>365</v>
      </c>
      <c r="G58" s="16" t="s">
        <v>44</v>
      </c>
      <c r="H58" s="21" t="s">
        <v>27</v>
      </c>
      <c r="I58" s="16" t="s">
        <v>11</v>
      </c>
      <c r="J58" s="16" t="s">
        <v>343</v>
      </c>
      <c r="K58" s="16" t="s">
        <v>366</v>
      </c>
      <c r="L58" s="16"/>
      <c r="M58" s="16"/>
      <c r="N58" s="23" t="str">
        <f>HYPERLINK("http://slimages.macys.com/is/image/MCY/20072217 ")</f>
        <v xml:space="preserve">http://slimages.macys.com/is/image/MCY/20072217 </v>
      </c>
    </row>
    <row r="59" spans="1:14" x14ac:dyDescent="0.25">
      <c r="A59" s="21" t="s">
        <v>1512</v>
      </c>
      <c r="B59" s="16" t="s">
        <v>1513</v>
      </c>
      <c r="C59" s="17">
        <v>14</v>
      </c>
      <c r="D59" s="22">
        <v>25</v>
      </c>
      <c r="E59" s="22">
        <v>350</v>
      </c>
      <c r="F59" s="17" t="s">
        <v>773</v>
      </c>
      <c r="G59" s="16" t="s">
        <v>137</v>
      </c>
      <c r="H59" s="21" t="s">
        <v>32</v>
      </c>
      <c r="I59" s="16" t="s">
        <v>11</v>
      </c>
      <c r="J59" s="16" t="s">
        <v>343</v>
      </c>
      <c r="K59" s="16" t="s">
        <v>379</v>
      </c>
      <c r="L59" s="16"/>
      <c r="M59" s="16"/>
      <c r="N59" s="23" t="str">
        <f>HYPERLINK("http://slimages.macys.com/is/image/MCY/20185665 ")</f>
        <v xml:space="preserve">http://slimages.macys.com/is/image/MCY/20185665 </v>
      </c>
    </row>
    <row r="60" spans="1:14" x14ac:dyDescent="0.25">
      <c r="A60" s="21" t="s">
        <v>1510</v>
      </c>
      <c r="B60" s="16" t="s">
        <v>1511</v>
      </c>
      <c r="C60" s="17">
        <v>1</v>
      </c>
      <c r="D60" s="22">
        <v>25</v>
      </c>
      <c r="E60" s="22">
        <v>25</v>
      </c>
      <c r="F60" s="17" t="s">
        <v>773</v>
      </c>
      <c r="G60" s="16" t="s">
        <v>137</v>
      </c>
      <c r="H60" s="21" t="s">
        <v>40</v>
      </c>
      <c r="I60" s="16" t="s">
        <v>11</v>
      </c>
      <c r="J60" s="16" t="s">
        <v>343</v>
      </c>
      <c r="K60" s="16" t="s">
        <v>379</v>
      </c>
      <c r="L60" s="16"/>
      <c r="M60" s="16"/>
      <c r="N60" s="23" t="str">
        <f>HYPERLINK("http://slimages.macys.com/is/image/MCY/20185665 ")</f>
        <v xml:space="preserve">http://slimages.macys.com/is/image/MCY/20185665 </v>
      </c>
    </row>
    <row r="61" spans="1:14" x14ac:dyDescent="0.25">
      <c r="A61" s="21" t="s">
        <v>1516</v>
      </c>
      <c r="B61" s="16" t="s">
        <v>1517</v>
      </c>
      <c r="C61" s="17">
        <v>2</v>
      </c>
      <c r="D61" s="22">
        <v>25</v>
      </c>
      <c r="E61" s="22">
        <v>50</v>
      </c>
      <c r="F61" s="17" t="s">
        <v>773</v>
      </c>
      <c r="G61" s="16" t="s">
        <v>137</v>
      </c>
      <c r="H61" s="21" t="s">
        <v>55</v>
      </c>
      <c r="I61" s="16" t="s">
        <v>11</v>
      </c>
      <c r="J61" s="16" t="s">
        <v>343</v>
      </c>
      <c r="K61" s="16" t="s">
        <v>379</v>
      </c>
      <c r="L61" s="16"/>
      <c r="M61" s="16"/>
      <c r="N61" s="23" t="str">
        <f>HYPERLINK("http://slimages.macys.com/is/image/MCY/20185665 ")</f>
        <v xml:space="preserve">http://slimages.macys.com/is/image/MCY/20185665 </v>
      </c>
    </row>
    <row r="62" spans="1:14" x14ac:dyDescent="0.25">
      <c r="A62" s="21" t="s">
        <v>1514</v>
      </c>
      <c r="B62" s="16" t="s">
        <v>1515</v>
      </c>
      <c r="C62" s="17">
        <v>8</v>
      </c>
      <c r="D62" s="22">
        <v>25</v>
      </c>
      <c r="E62" s="22">
        <v>200</v>
      </c>
      <c r="F62" s="17" t="s">
        <v>773</v>
      </c>
      <c r="G62" s="16" t="s">
        <v>137</v>
      </c>
      <c r="H62" s="21" t="s">
        <v>27</v>
      </c>
      <c r="I62" s="16" t="s">
        <v>11</v>
      </c>
      <c r="J62" s="16" t="s">
        <v>343</v>
      </c>
      <c r="K62" s="16" t="s">
        <v>379</v>
      </c>
      <c r="L62" s="16"/>
      <c r="M62" s="16"/>
      <c r="N62" s="23" t="str">
        <f>HYPERLINK("http://slimages.macys.com/is/image/MCY/20185665 ")</f>
        <v xml:space="preserve">http://slimages.macys.com/is/image/MCY/20185665 </v>
      </c>
    </row>
    <row r="63" spans="1:14" x14ac:dyDescent="0.25">
      <c r="A63" s="21" t="s">
        <v>1566</v>
      </c>
      <c r="B63" s="16" t="s">
        <v>1567</v>
      </c>
      <c r="C63" s="17">
        <v>1</v>
      </c>
      <c r="D63" s="22">
        <v>14.3</v>
      </c>
      <c r="E63" s="22">
        <v>14.3</v>
      </c>
      <c r="F63" s="17" t="s">
        <v>1340</v>
      </c>
      <c r="G63" s="16" t="s">
        <v>378</v>
      </c>
      <c r="H63" s="21" t="s">
        <v>40</v>
      </c>
      <c r="I63" s="16" t="s">
        <v>11</v>
      </c>
      <c r="J63" s="16" t="s">
        <v>343</v>
      </c>
      <c r="K63" s="16" t="s">
        <v>379</v>
      </c>
      <c r="L63" s="16"/>
      <c r="M63" s="16"/>
      <c r="N63" s="23" t="str">
        <f>HYPERLINK("http://slimages.macys.com/is/image/MCY/20120079 ")</f>
        <v xml:space="preserve">http://slimages.macys.com/is/image/MCY/20120079 </v>
      </c>
    </row>
    <row r="64" spans="1:14" x14ac:dyDescent="0.25">
      <c r="A64" s="21" t="s">
        <v>1568</v>
      </c>
      <c r="B64" s="16" t="s">
        <v>1569</v>
      </c>
      <c r="C64" s="17">
        <v>1</v>
      </c>
      <c r="D64" s="22">
        <v>14.3</v>
      </c>
      <c r="E64" s="22">
        <v>14.3</v>
      </c>
      <c r="F64" s="17" t="s">
        <v>1340</v>
      </c>
      <c r="G64" s="16" t="s">
        <v>102</v>
      </c>
      <c r="H64" s="21" t="s">
        <v>27</v>
      </c>
      <c r="I64" s="16" t="s">
        <v>11</v>
      </c>
      <c r="J64" s="16" t="s">
        <v>343</v>
      </c>
      <c r="K64" s="16" t="s">
        <v>379</v>
      </c>
      <c r="L64" s="16"/>
      <c r="M64" s="16"/>
      <c r="N64" s="23" t="str">
        <f>HYPERLINK("http://slimages.macys.com/is/image/MCY/20120079 ")</f>
        <v xml:space="preserve">http://slimages.macys.com/is/image/MCY/20120079 </v>
      </c>
    </row>
    <row r="65" spans="1:14" x14ac:dyDescent="0.25">
      <c r="A65" s="21" t="s">
        <v>1558</v>
      </c>
      <c r="B65" s="16" t="s">
        <v>1559</v>
      </c>
      <c r="C65" s="17">
        <v>15</v>
      </c>
      <c r="D65" s="22">
        <v>14.3</v>
      </c>
      <c r="E65" s="22">
        <v>214.5</v>
      </c>
      <c r="F65" s="17" t="s">
        <v>778</v>
      </c>
      <c r="G65" s="16" t="s">
        <v>488</v>
      </c>
      <c r="H65" s="21" t="s">
        <v>40</v>
      </c>
      <c r="I65" s="16" t="s">
        <v>11</v>
      </c>
      <c r="J65" s="16" t="s">
        <v>343</v>
      </c>
      <c r="K65" s="16" t="s">
        <v>379</v>
      </c>
      <c r="L65" s="16"/>
      <c r="M65" s="16"/>
      <c r="N65" s="23" t="str">
        <f>HYPERLINK("http://slimages.macys.com/is/image/MCY/20121070 ")</f>
        <v xml:space="preserve">http://slimages.macys.com/is/image/MCY/20121070 </v>
      </c>
    </row>
    <row r="66" spans="1:14" x14ac:dyDescent="0.25">
      <c r="A66" s="21" t="s">
        <v>1049</v>
      </c>
      <c r="B66" s="16" t="s">
        <v>1050</v>
      </c>
      <c r="C66" s="17">
        <v>2</v>
      </c>
      <c r="D66" s="22">
        <v>14.3</v>
      </c>
      <c r="E66" s="22">
        <v>28.6</v>
      </c>
      <c r="F66" s="17" t="s">
        <v>1051</v>
      </c>
      <c r="G66" s="16" t="s">
        <v>31</v>
      </c>
      <c r="H66" s="21" t="s">
        <v>32</v>
      </c>
      <c r="I66" s="16" t="s">
        <v>11</v>
      </c>
      <c r="J66" s="16" t="s">
        <v>343</v>
      </c>
      <c r="K66" s="16" t="s">
        <v>379</v>
      </c>
      <c r="L66" s="16"/>
      <c r="M66" s="16"/>
      <c r="N66" s="23" t="str">
        <f t="shared" ref="N66:N81" si="2">HYPERLINK("http://slimages.macys.com/is/image/MCY/20120785 ")</f>
        <v xml:space="preserve">http://slimages.macys.com/is/image/MCY/20120785 </v>
      </c>
    </row>
    <row r="67" spans="1:14" x14ac:dyDescent="0.25">
      <c r="A67" s="21" t="s">
        <v>1337</v>
      </c>
      <c r="B67" s="16" t="s">
        <v>1055</v>
      </c>
      <c r="C67" s="17">
        <v>22</v>
      </c>
      <c r="D67" s="22">
        <v>14.3</v>
      </c>
      <c r="E67" s="22">
        <v>314.60000000000002</v>
      </c>
      <c r="F67" s="17" t="s">
        <v>1051</v>
      </c>
      <c r="G67" s="16" t="s">
        <v>31</v>
      </c>
      <c r="H67" s="21" t="s">
        <v>40</v>
      </c>
      <c r="I67" s="16" t="s">
        <v>11</v>
      </c>
      <c r="J67" s="16" t="s">
        <v>343</v>
      </c>
      <c r="K67" s="16" t="s">
        <v>379</v>
      </c>
      <c r="L67" s="16"/>
      <c r="M67" s="16"/>
      <c r="N67" s="23" t="str">
        <f t="shared" si="2"/>
        <v xml:space="preserve">http://slimages.macys.com/is/image/MCY/20120785 </v>
      </c>
    </row>
    <row r="68" spans="1:14" x14ac:dyDescent="0.25">
      <c r="A68" s="21" t="s">
        <v>1054</v>
      </c>
      <c r="B68" s="16" t="s">
        <v>1055</v>
      </c>
      <c r="C68" s="17">
        <v>6</v>
      </c>
      <c r="D68" s="22">
        <v>14.3</v>
      </c>
      <c r="E68" s="22">
        <v>85.8</v>
      </c>
      <c r="F68" s="17" t="s">
        <v>1056</v>
      </c>
      <c r="G68" s="16" t="s">
        <v>31</v>
      </c>
      <c r="H68" s="21" t="s">
        <v>40</v>
      </c>
      <c r="I68" s="16" t="s">
        <v>11</v>
      </c>
      <c r="J68" s="16" t="s">
        <v>343</v>
      </c>
      <c r="K68" s="16" t="s">
        <v>379</v>
      </c>
      <c r="L68" s="16"/>
      <c r="M68" s="16"/>
      <c r="N68" s="23" t="str">
        <f t="shared" si="2"/>
        <v xml:space="preserve">http://slimages.macys.com/is/image/MCY/20120785 </v>
      </c>
    </row>
    <row r="69" spans="1:14" x14ac:dyDescent="0.25">
      <c r="A69" s="21" t="s">
        <v>1562</v>
      </c>
      <c r="B69" s="16" t="s">
        <v>1563</v>
      </c>
      <c r="C69" s="17">
        <v>15</v>
      </c>
      <c r="D69" s="22">
        <v>14.3</v>
      </c>
      <c r="E69" s="22">
        <v>214.5</v>
      </c>
      <c r="F69" s="17" t="s">
        <v>1051</v>
      </c>
      <c r="G69" s="16" t="s">
        <v>31</v>
      </c>
      <c r="H69" s="21" t="s">
        <v>55</v>
      </c>
      <c r="I69" s="16" t="s">
        <v>11</v>
      </c>
      <c r="J69" s="16" t="s">
        <v>343</v>
      </c>
      <c r="K69" s="16" t="s">
        <v>379</v>
      </c>
      <c r="L69" s="16"/>
      <c r="M69" s="16"/>
      <c r="N69" s="23" t="str">
        <f t="shared" si="2"/>
        <v xml:space="preserve">http://slimages.macys.com/is/image/MCY/20120785 </v>
      </c>
    </row>
    <row r="70" spans="1:14" x14ac:dyDescent="0.25">
      <c r="A70" s="21" t="s">
        <v>1335</v>
      </c>
      <c r="B70" s="16" t="s">
        <v>1336</v>
      </c>
      <c r="C70" s="17">
        <v>29</v>
      </c>
      <c r="D70" s="22">
        <v>14.3</v>
      </c>
      <c r="E70" s="22">
        <v>414.7</v>
      </c>
      <c r="F70" s="17" t="s">
        <v>1051</v>
      </c>
      <c r="G70" s="16" t="s">
        <v>124</v>
      </c>
      <c r="H70" s="21" t="s">
        <v>40</v>
      </c>
      <c r="I70" s="16" t="s">
        <v>11</v>
      </c>
      <c r="J70" s="16" t="s">
        <v>343</v>
      </c>
      <c r="K70" s="16" t="s">
        <v>379</v>
      </c>
      <c r="L70" s="16"/>
      <c r="M70" s="16"/>
      <c r="N70" s="23" t="str">
        <f t="shared" si="2"/>
        <v xml:space="preserve">http://slimages.macys.com/is/image/MCY/20120785 </v>
      </c>
    </row>
    <row r="71" spans="1:14" x14ac:dyDescent="0.25">
      <c r="A71" s="21" t="s">
        <v>1341</v>
      </c>
      <c r="B71" s="16" t="s">
        <v>1342</v>
      </c>
      <c r="C71" s="17">
        <v>3</v>
      </c>
      <c r="D71" s="22">
        <v>14.3</v>
      </c>
      <c r="E71" s="22">
        <v>42.9</v>
      </c>
      <c r="F71" s="17" t="s">
        <v>1051</v>
      </c>
      <c r="G71" s="16" t="s">
        <v>124</v>
      </c>
      <c r="H71" s="21" t="s">
        <v>55</v>
      </c>
      <c r="I71" s="16" t="s">
        <v>11</v>
      </c>
      <c r="J71" s="16" t="s">
        <v>343</v>
      </c>
      <c r="K71" s="16" t="s">
        <v>379</v>
      </c>
      <c r="L71" s="16"/>
      <c r="M71" s="16"/>
      <c r="N71" s="23" t="str">
        <f t="shared" si="2"/>
        <v xml:space="preserve">http://slimages.macys.com/is/image/MCY/20120785 </v>
      </c>
    </row>
    <row r="72" spans="1:14" x14ac:dyDescent="0.25">
      <c r="A72" s="21" t="s">
        <v>1343</v>
      </c>
      <c r="B72" s="16" t="s">
        <v>1344</v>
      </c>
      <c r="C72" s="17">
        <v>2</v>
      </c>
      <c r="D72" s="22">
        <v>14.3</v>
      </c>
      <c r="E72" s="22">
        <v>28.6</v>
      </c>
      <c r="F72" s="17" t="s">
        <v>1051</v>
      </c>
      <c r="G72" s="16" t="s">
        <v>124</v>
      </c>
      <c r="H72" s="21" t="s">
        <v>27</v>
      </c>
      <c r="I72" s="16" t="s">
        <v>11</v>
      </c>
      <c r="J72" s="16" t="s">
        <v>343</v>
      </c>
      <c r="K72" s="16" t="s">
        <v>379</v>
      </c>
      <c r="L72" s="16"/>
      <c r="M72" s="16"/>
      <c r="N72" s="23" t="str">
        <f t="shared" si="2"/>
        <v xml:space="preserve">http://slimages.macys.com/is/image/MCY/20120785 </v>
      </c>
    </row>
    <row r="73" spans="1:14" x14ac:dyDescent="0.25">
      <c r="A73" s="21" t="s">
        <v>1556</v>
      </c>
      <c r="B73" s="16" t="s">
        <v>1557</v>
      </c>
      <c r="C73" s="17">
        <v>36</v>
      </c>
      <c r="D73" s="22">
        <v>14.3</v>
      </c>
      <c r="E73" s="22">
        <v>514.79999999999995</v>
      </c>
      <c r="F73" s="17" t="s">
        <v>1051</v>
      </c>
      <c r="G73" s="16" t="s">
        <v>44</v>
      </c>
      <c r="H73" s="21" t="s">
        <v>32</v>
      </c>
      <c r="I73" s="16" t="s">
        <v>11</v>
      </c>
      <c r="J73" s="16" t="s">
        <v>343</v>
      </c>
      <c r="K73" s="16" t="s">
        <v>379</v>
      </c>
      <c r="L73" s="16"/>
      <c r="M73" s="16"/>
      <c r="N73" s="23" t="str">
        <f t="shared" si="2"/>
        <v xml:space="preserve">http://slimages.macys.com/is/image/MCY/20120785 </v>
      </c>
    </row>
    <row r="74" spans="1:14" x14ac:dyDescent="0.25">
      <c r="A74" s="21" t="s">
        <v>1554</v>
      </c>
      <c r="B74" s="16" t="s">
        <v>1555</v>
      </c>
      <c r="C74" s="17">
        <v>20</v>
      </c>
      <c r="D74" s="22">
        <v>14.3</v>
      </c>
      <c r="E74" s="22">
        <v>286</v>
      </c>
      <c r="F74" s="17" t="s">
        <v>1051</v>
      </c>
      <c r="G74" s="16" t="s">
        <v>44</v>
      </c>
      <c r="H74" s="21" t="s">
        <v>40</v>
      </c>
      <c r="I74" s="16" t="s">
        <v>11</v>
      </c>
      <c r="J74" s="16" t="s">
        <v>343</v>
      </c>
      <c r="K74" s="16" t="s">
        <v>379</v>
      </c>
      <c r="L74" s="16"/>
      <c r="M74" s="16"/>
      <c r="N74" s="23" t="str">
        <f t="shared" si="2"/>
        <v xml:space="preserve">http://slimages.macys.com/is/image/MCY/20120785 </v>
      </c>
    </row>
    <row r="75" spans="1:14" x14ac:dyDescent="0.25">
      <c r="A75" s="21" t="s">
        <v>1564</v>
      </c>
      <c r="B75" s="16" t="s">
        <v>1565</v>
      </c>
      <c r="C75" s="17">
        <v>2</v>
      </c>
      <c r="D75" s="22">
        <v>14.3</v>
      </c>
      <c r="E75" s="22">
        <v>28.6</v>
      </c>
      <c r="F75" s="17" t="s">
        <v>1051</v>
      </c>
      <c r="G75" s="16" t="s">
        <v>44</v>
      </c>
      <c r="H75" s="21" t="s">
        <v>27</v>
      </c>
      <c r="I75" s="16" t="s">
        <v>11</v>
      </c>
      <c r="J75" s="16" t="s">
        <v>343</v>
      </c>
      <c r="K75" s="16" t="s">
        <v>379</v>
      </c>
      <c r="L75" s="16"/>
      <c r="M75" s="16"/>
      <c r="N75" s="23" t="str">
        <f t="shared" si="2"/>
        <v xml:space="preserve">http://slimages.macys.com/is/image/MCY/20120785 </v>
      </c>
    </row>
    <row r="76" spans="1:14" x14ac:dyDescent="0.25">
      <c r="A76" s="21" t="s">
        <v>1347</v>
      </c>
      <c r="B76" s="16" t="s">
        <v>1348</v>
      </c>
      <c r="C76" s="17">
        <v>2</v>
      </c>
      <c r="D76" s="22">
        <v>14.3</v>
      </c>
      <c r="E76" s="22">
        <v>28.6</v>
      </c>
      <c r="F76" s="17" t="s">
        <v>1051</v>
      </c>
      <c r="G76" s="16" t="s">
        <v>82</v>
      </c>
      <c r="H76" s="21" t="s">
        <v>40</v>
      </c>
      <c r="I76" s="16" t="s">
        <v>11</v>
      </c>
      <c r="J76" s="16" t="s">
        <v>343</v>
      </c>
      <c r="K76" s="16" t="s">
        <v>379</v>
      </c>
      <c r="L76" s="16"/>
      <c r="M76" s="16"/>
      <c r="N76" s="23" t="str">
        <f t="shared" si="2"/>
        <v xml:space="preserve">http://slimages.macys.com/is/image/MCY/20120785 </v>
      </c>
    </row>
    <row r="77" spans="1:14" x14ac:dyDescent="0.25">
      <c r="A77" s="21" t="s">
        <v>1560</v>
      </c>
      <c r="B77" s="16" t="s">
        <v>1561</v>
      </c>
      <c r="C77" s="17">
        <v>1</v>
      </c>
      <c r="D77" s="22">
        <v>14.3</v>
      </c>
      <c r="E77" s="22">
        <v>14.3</v>
      </c>
      <c r="F77" s="17" t="s">
        <v>1051</v>
      </c>
      <c r="G77" s="16" t="s">
        <v>82</v>
      </c>
      <c r="H77" s="21" t="s">
        <v>27</v>
      </c>
      <c r="I77" s="16" t="s">
        <v>11</v>
      </c>
      <c r="J77" s="16" t="s">
        <v>343</v>
      </c>
      <c r="K77" s="16" t="s">
        <v>379</v>
      </c>
      <c r="L77" s="16"/>
      <c r="M77" s="16"/>
      <c r="N77" s="23" t="str">
        <f t="shared" si="2"/>
        <v xml:space="preserve">http://slimages.macys.com/is/image/MCY/20120785 </v>
      </c>
    </row>
    <row r="78" spans="1:14" x14ac:dyDescent="0.25">
      <c r="A78" s="21" t="s">
        <v>1345</v>
      </c>
      <c r="B78" s="16" t="s">
        <v>1346</v>
      </c>
      <c r="C78" s="17">
        <v>18</v>
      </c>
      <c r="D78" s="22">
        <v>14.3</v>
      </c>
      <c r="E78" s="22">
        <v>257.39999999999998</v>
      </c>
      <c r="F78" s="17" t="s">
        <v>1056</v>
      </c>
      <c r="G78" s="16" t="s">
        <v>31</v>
      </c>
      <c r="H78" s="21" t="s">
        <v>32</v>
      </c>
      <c r="I78" s="16" t="s">
        <v>11</v>
      </c>
      <c r="J78" s="16" t="s">
        <v>343</v>
      </c>
      <c r="K78" s="16" t="s">
        <v>379</v>
      </c>
      <c r="L78" s="16"/>
      <c r="M78" s="16"/>
      <c r="N78" s="23" t="str">
        <f t="shared" si="2"/>
        <v xml:space="preserve">http://slimages.macys.com/is/image/MCY/20120785 </v>
      </c>
    </row>
    <row r="79" spans="1:14" x14ac:dyDescent="0.25">
      <c r="A79" s="21" t="s">
        <v>1333</v>
      </c>
      <c r="B79" s="16" t="s">
        <v>1334</v>
      </c>
      <c r="C79" s="17">
        <v>14</v>
      </c>
      <c r="D79" s="22">
        <v>14.3</v>
      </c>
      <c r="E79" s="22">
        <v>200.2</v>
      </c>
      <c r="F79" s="17" t="s">
        <v>1056</v>
      </c>
      <c r="G79" s="16" t="s">
        <v>31</v>
      </c>
      <c r="H79" s="21" t="s">
        <v>40</v>
      </c>
      <c r="I79" s="16" t="s">
        <v>11</v>
      </c>
      <c r="J79" s="16" t="s">
        <v>343</v>
      </c>
      <c r="K79" s="16" t="s">
        <v>379</v>
      </c>
      <c r="L79" s="16"/>
      <c r="M79" s="16"/>
      <c r="N79" s="23" t="str">
        <f t="shared" si="2"/>
        <v xml:space="preserve">http://slimages.macys.com/is/image/MCY/20120785 </v>
      </c>
    </row>
    <row r="80" spans="1:14" x14ac:dyDescent="0.25">
      <c r="A80" s="21" t="s">
        <v>1331</v>
      </c>
      <c r="B80" s="16" t="s">
        <v>1332</v>
      </c>
      <c r="C80" s="17">
        <v>3</v>
      </c>
      <c r="D80" s="22">
        <v>14.3</v>
      </c>
      <c r="E80" s="22">
        <v>42.9</v>
      </c>
      <c r="F80" s="17" t="s">
        <v>1051</v>
      </c>
      <c r="G80" s="16" t="s">
        <v>62</v>
      </c>
      <c r="H80" s="21" t="s">
        <v>40</v>
      </c>
      <c r="I80" s="16" t="s">
        <v>11</v>
      </c>
      <c r="J80" s="16" t="s">
        <v>343</v>
      </c>
      <c r="K80" s="16" t="s">
        <v>379</v>
      </c>
      <c r="L80" s="16"/>
      <c r="M80" s="16"/>
      <c r="N80" s="23" t="str">
        <f t="shared" si="2"/>
        <v xml:space="preserve">http://slimages.macys.com/is/image/MCY/20120785 </v>
      </c>
    </row>
    <row r="81" spans="1:14" x14ac:dyDescent="0.25">
      <c r="A81" s="21" t="s">
        <v>1552</v>
      </c>
      <c r="B81" s="16" t="s">
        <v>1553</v>
      </c>
      <c r="C81" s="17">
        <v>3</v>
      </c>
      <c r="D81" s="22">
        <v>14.3</v>
      </c>
      <c r="E81" s="22">
        <v>42.9</v>
      </c>
      <c r="F81" s="17" t="s">
        <v>1051</v>
      </c>
      <c r="G81" s="16" t="s">
        <v>62</v>
      </c>
      <c r="H81" s="21" t="s">
        <v>55</v>
      </c>
      <c r="I81" s="16" t="s">
        <v>11</v>
      </c>
      <c r="J81" s="16" t="s">
        <v>343</v>
      </c>
      <c r="K81" s="16" t="s">
        <v>379</v>
      </c>
      <c r="L81" s="16"/>
      <c r="M81" s="16"/>
      <c r="N81" s="23" t="str">
        <f t="shared" si="2"/>
        <v xml:space="preserve">http://slimages.macys.com/is/image/MCY/20120785 </v>
      </c>
    </row>
    <row r="82" spans="1:14" x14ac:dyDescent="0.25">
      <c r="A82" s="21" t="s">
        <v>1460</v>
      </c>
      <c r="B82" s="16" t="s">
        <v>1461</v>
      </c>
      <c r="C82" s="17">
        <v>1</v>
      </c>
      <c r="D82" s="22">
        <v>14.99</v>
      </c>
      <c r="E82" s="22">
        <v>14.99</v>
      </c>
      <c r="F82" s="17" t="s">
        <v>1462</v>
      </c>
      <c r="G82" s="16" t="s">
        <v>270</v>
      </c>
      <c r="H82" s="21" t="s">
        <v>40</v>
      </c>
      <c r="I82" s="16" t="s">
        <v>11</v>
      </c>
      <c r="J82" s="16" t="s">
        <v>266</v>
      </c>
      <c r="K82" s="16" t="s">
        <v>267</v>
      </c>
      <c r="L82" s="16"/>
      <c r="M82" s="16"/>
      <c r="N82" s="23" t="str">
        <f>HYPERLINK("http://slimages.macys.com/is/image/MCY/20042359 ")</f>
        <v xml:space="preserve">http://slimages.macys.com/is/image/MCY/20042359 </v>
      </c>
    </row>
    <row r="83" spans="1:14" x14ac:dyDescent="0.25">
      <c r="A83" s="21" t="s">
        <v>1446</v>
      </c>
      <c r="B83" s="16" t="s">
        <v>1447</v>
      </c>
      <c r="C83" s="17">
        <v>6</v>
      </c>
      <c r="D83" s="22">
        <v>32.99</v>
      </c>
      <c r="E83" s="22">
        <v>197.94</v>
      </c>
      <c r="F83" s="17" t="s">
        <v>1448</v>
      </c>
      <c r="G83" s="16" t="s">
        <v>174</v>
      </c>
      <c r="H83" s="21" t="s">
        <v>55</v>
      </c>
      <c r="I83" s="16" t="s">
        <v>11</v>
      </c>
      <c r="J83" s="16" t="s">
        <v>266</v>
      </c>
      <c r="K83" s="16" t="s">
        <v>267</v>
      </c>
      <c r="L83" s="16"/>
      <c r="M83" s="16"/>
      <c r="N83" s="23" t="str">
        <f>HYPERLINK("http://slimages.macys.com/is/image/MCY/19287187 ")</f>
        <v xml:space="preserve">http://slimages.macys.com/is/image/MCY/19287187 </v>
      </c>
    </row>
    <row r="84" spans="1:14" x14ac:dyDescent="0.25">
      <c r="A84" s="21" t="s">
        <v>1456</v>
      </c>
      <c r="B84" s="16" t="s">
        <v>1457</v>
      </c>
      <c r="C84" s="17">
        <v>10</v>
      </c>
      <c r="D84" s="22">
        <v>24.99</v>
      </c>
      <c r="E84" s="22">
        <v>249.9</v>
      </c>
      <c r="F84" s="17" t="s">
        <v>739</v>
      </c>
      <c r="G84" s="16" t="s">
        <v>86</v>
      </c>
      <c r="H84" s="21" t="s">
        <v>47</v>
      </c>
      <c r="I84" s="16" t="s">
        <v>11</v>
      </c>
      <c r="J84" s="16" t="s">
        <v>266</v>
      </c>
      <c r="K84" s="16" t="s">
        <v>267</v>
      </c>
      <c r="L84" s="16"/>
      <c r="M84" s="16"/>
      <c r="N84" s="23" t="str">
        <f>HYPERLINK("http://slimages.macys.com/is/image/MCY/20226363 ")</f>
        <v xml:space="preserve">http://slimages.macys.com/is/image/MCY/20226363 </v>
      </c>
    </row>
    <row r="85" spans="1:14" x14ac:dyDescent="0.25">
      <c r="A85" s="21" t="s">
        <v>1444</v>
      </c>
      <c r="B85" s="16" t="s">
        <v>1445</v>
      </c>
      <c r="C85" s="17">
        <v>11</v>
      </c>
      <c r="D85" s="22">
        <v>37.99</v>
      </c>
      <c r="E85" s="22">
        <v>417.89</v>
      </c>
      <c r="F85" s="17" t="s">
        <v>1222</v>
      </c>
      <c r="G85" s="16" t="s">
        <v>189</v>
      </c>
      <c r="H85" s="21" t="s">
        <v>47</v>
      </c>
      <c r="I85" s="16" t="s">
        <v>11</v>
      </c>
      <c r="J85" s="16" t="s">
        <v>266</v>
      </c>
      <c r="K85" s="16" t="s">
        <v>267</v>
      </c>
      <c r="L85" s="16"/>
      <c r="M85" s="16"/>
      <c r="N85" s="23" t="str">
        <f>HYPERLINK("http://slimages.macys.com/is/image/MCY/21080160 ")</f>
        <v xml:space="preserve">http://slimages.macys.com/is/image/MCY/21080160 </v>
      </c>
    </row>
    <row r="86" spans="1:14" x14ac:dyDescent="0.25">
      <c r="A86" s="21" t="s">
        <v>1442</v>
      </c>
      <c r="B86" s="16" t="s">
        <v>1443</v>
      </c>
      <c r="C86" s="17">
        <v>1</v>
      </c>
      <c r="D86" s="22">
        <v>27.99</v>
      </c>
      <c r="E86" s="22">
        <v>27.99</v>
      </c>
      <c r="F86" s="17" t="s">
        <v>1001</v>
      </c>
      <c r="G86" s="16" t="s">
        <v>104</v>
      </c>
      <c r="H86" s="21" t="s">
        <v>87</v>
      </c>
      <c r="I86" s="16" t="s">
        <v>11</v>
      </c>
      <c r="J86" s="16" t="s">
        <v>266</v>
      </c>
      <c r="K86" s="16" t="s">
        <v>267</v>
      </c>
      <c r="L86" s="16"/>
      <c r="M86" s="16"/>
      <c r="N86" s="23" t="str">
        <f>HYPERLINK("http://slimages.macys.com/is/image/MCY/20128837 ")</f>
        <v xml:space="preserve">http://slimages.macys.com/is/image/MCY/20128837 </v>
      </c>
    </row>
    <row r="87" spans="1:14" x14ac:dyDescent="0.25">
      <c r="A87" s="21" t="s">
        <v>1452</v>
      </c>
      <c r="B87" s="16" t="s">
        <v>1453</v>
      </c>
      <c r="C87" s="17">
        <v>1</v>
      </c>
      <c r="D87" s="22">
        <v>27.99</v>
      </c>
      <c r="E87" s="22">
        <v>27.99</v>
      </c>
      <c r="F87" s="17" t="s">
        <v>301</v>
      </c>
      <c r="G87" s="16" t="s">
        <v>83</v>
      </c>
      <c r="H87" s="21" t="s">
        <v>55</v>
      </c>
      <c r="I87" s="16" t="s">
        <v>11</v>
      </c>
      <c r="J87" s="16" t="s">
        <v>266</v>
      </c>
      <c r="K87" s="16" t="s">
        <v>267</v>
      </c>
      <c r="L87" s="16"/>
      <c r="M87" s="16"/>
      <c r="N87" s="23" t="str">
        <f>HYPERLINK("http://slimages.macys.com/is/image/MCY/18533165 ")</f>
        <v xml:space="preserve">http://slimages.macys.com/is/image/MCY/18533165 </v>
      </c>
    </row>
    <row r="88" spans="1:14" x14ac:dyDescent="0.25">
      <c r="A88" s="21" t="s">
        <v>1438</v>
      </c>
      <c r="B88" s="16" t="s">
        <v>1439</v>
      </c>
      <c r="C88" s="17">
        <v>1</v>
      </c>
      <c r="D88" s="22">
        <v>49.99</v>
      </c>
      <c r="E88" s="22">
        <v>49.99</v>
      </c>
      <c r="F88" s="17" t="s">
        <v>271</v>
      </c>
      <c r="G88" s="16" t="s">
        <v>86</v>
      </c>
      <c r="H88" s="21" t="s">
        <v>87</v>
      </c>
      <c r="I88" s="16" t="s">
        <v>11</v>
      </c>
      <c r="J88" s="16" t="s">
        <v>266</v>
      </c>
      <c r="K88" s="16" t="s">
        <v>267</v>
      </c>
      <c r="L88" s="16"/>
      <c r="M88" s="16"/>
      <c r="N88" s="23" t="str">
        <f>HYPERLINK("http://slimages.macys.com/is/image/MCY/20492208 ")</f>
        <v xml:space="preserve">http://slimages.macys.com/is/image/MCY/20492208 </v>
      </c>
    </row>
    <row r="89" spans="1:14" x14ac:dyDescent="0.25">
      <c r="A89" s="21" t="s">
        <v>1449</v>
      </c>
      <c r="B89" s="16" t="s">
        <v>1450</v>
      </c>
      <c r="C89" s="17">
        <v>11</v>
      </c>
      <c r="D89" s="22">
        <v>32.99</v>
      </c>
      <c r="E89" s="22">
        <v>362.89</v>
      </c>
      <c r="F89" s="17" t="s">
        <v>1451</v>
      </c>
      <c r="G89" s="16" t="s">
        <v>31</v>
      </c>
      <c r="H89" s="21" t="s">
        <v>55</v>
      </c>
      <c r="I89" s="16" t="s">
        <v>11</v>
      </c>
      <c r="J89" s="16" t="s">
        <v>266</v>
      </c>
      <c r="K89" s="16" t="s">
        <v>267</v>
      </c>
      <c r="L89" s="16"/>
      <c r="M89" s="16"/>
      <c r="N89" s="23" t="str">
        <f>HYPERLINK("http://slimages.macys.com/is/image/MCY/19287197 ")</f>
        <v xml:space="preserve">http://slimages.macys.com/is/image/MCY/19287197 </v>
      </c>
    </row>
    <row r="90" spans="1:14" x14ac:dyDescent="0.25">
      <c r="A90" s="21" t="s">
        <v>1229</v>
      </c>
      <c r="B90" s="16" t="s">
        <v>1230</v>
      </c>
      <c r="C90" s="17">
        <v>10</v>
      </c>
      <c r="D90" s="22">
        <v>32.99</v>
      </c>
      <c r="E90" s="22">
        <v>329.9</v>
      </c>
      <c r="F90" s="17" t="s">
        <v>1231</v>
      </c>
      <c r="G90" s="16" t="s">
        <v>270</v>
      </c>
      <c r="H90" s="21" t="s">
        <v>55</v>
      </c>
      <c r="I90" s="16" t="s">
        <v>11</v>
      </c>
      <c r="J90" s="16" t="s">
        <v>266</v>
      </c>
      <c r="K90" s="16" t="s">
        <v>267</v>
      </c>
      <c r="L90" s="16"/>
      <c r="M90" s="16"/>
      <c r="N90" s="23" t="str">
        <f>HYPERLINK("http://slimages.macys.com/is/image/MCY/19287197 ")</f>
        <v xml:space="preserve">http://slimages.macys.com/is/image/MCY/19287197 </v>
      </c>
    </row>
    <row r="91" spans="1:14" x14ac:dyDescent="0.25">
      <c r="A91" s="21" t="s">
        <v>763</v>
      </c>
      <c r="B91" s="16" t="s">
        <v>764</v>
      </c>
      <c r="C91" s="17">
        <v>10</v>
      </c>
      <c r="D91" s="22">
        <v>17.989999999999998</v>
      </c>
      <c r="E91" s="22">
        <v>179.9</v>
      </c>
      <c r="F91" s="17" t="s">
        <v>339</v>
      </c>
      <c r="G91" s="16" t="s">
        <v>174</v>
      </c>
      <c r="H91" s="21" t="s">
        <v>40</v>
      </c>
      <c r="I91" s="16" t="s">
        <v>11</v>
      </c>
      <c r="J91" s="16" t="s">
        <v>266</v>
      </c>
      <c r="K91" s="16" t="s">
        <v>267</v>
      </c>
      <c r="L91" s="16"/>
      <c r="M91" s="16"/>
      <c r="N91" s="23" t="str">
        <f>HYPERLINK("http://slimages.macys.com/is/image/MCY/19797477 ")</f>
        <v xml:space="preserve">http://slimages.macys.com/is/image/MCY/19797477 </v>
      </c>
    </row>
    <row r="92" spans="1:14" x14ac:dyDescent="0.25">
      <c r="A92" s="21" t="s">
        <v>1210</v>
      </c>
      <c r="B92" s="16" t="s">
        <v>1211</v>
      </c>
      <c r="C92" s="17">
        <v>2</v>
      </c>
      <c r="D92" s="22">
        <v>37.99</v>
      </c>
      <c r="E92" s="22">
        <v>75.98</v>
      </c>
      <c r="F92" s="17" t="s">
        <v>1212</v>
      </c>
      <c r="G92" s="16" t="s">
        <v>78</v>
      </c>
      <c r="H92" s="21" t="s">
        <v>55</v>
      </c>
      <c r="I92" s="16" t="s">
        <v>11</v>
      </c>
      <c r="J92" s="16" t="s">
        <v>266</v>
      </c>
      <c r="K92" s="16" t="s">
        <v>267</v>
      </c>
      <c r="L92" s="16"/>
      <c r="M92" s="16"/>
      <c r="N92" s="23" t="str">
        <f>HYPERLINK("http://slimages.macys.com/is/image/MCY/1043885 ")</f>
        <v xml:space="preserve">http://slimages.macys.com/is/image/MCY/1043885 </v>
      </c>
    </row>
    <row r="93" spans="1:14" x14ac:dyDescent="0.25">
      <c r="A93" s="21" t="s">
        <v>1208</v>
      </c>
      <c r="B93" s="16" t="s">
        <v>1209</v>
      </c>
      <c r="C93" s="17">
        <v>16</v>
      </c>
      <c r="D93" s="22">
        <v>23.99</v>
      </c>
      <c r="E93" s="22">
        <v>383.84</v>
      </c>
      <c r="F93" s="17" t="s">
        <v>999</v>
      </c>
      <c r="G93" s="16" t="s">
        <v>31</v>
      </c>
      <c r="H93" s="21" t="s">
        <v>55</v>
      </c>
      <c r="I93" s="16" t="s">
        <v>11</v>
      </c>
      <c r="J93" s="16" t="s">
        <v>266</v>
      </c>
      <c r="K93" s="16" t="s">
        <v>267</v>
      </c>
      <c r="L93" s="16"/>
      <c r="M93" s="16"/>
      <c r="N93" s="23" t="str">
        <f>HYPERLINK("http://slimages.macys.com/is/image/MCY/18531891 ")</f>
        <v xml:space="preserve">http://slimages.macys.com/is/image/MCY/18531891 </v>
      </c>
    </row>
    <row r="94" spans="1:14" x14ac:dyDescent="0.25">
      <c r="A94" s="21" t="s">
        <v>1440</v>
      </c>
      <c r="B94" s="16" t="s">
        <v>1441</v>
      </c>
      <c r="C94" s="17">
        <v>40</v>
      </c>
      <c r="D94" s="22">
        <v>23.99</v>
      </c>
      <c r="E94" s="22">
        <v>959.6</v>
      </c>
      <c r="F94" s="17" t="s">
        <v>999</v>
      </c>
      <c r="G94" s="16" t="s">
        <v>31</v>
      </c>
      <c r="H94" s="21" t="s">
        <v>47</v>
      </c>
      <c r="I94" s="16" t="s">
        <v>11</v>
      </c>
      <c r="J94" s="16" t="s">
        <v>266</v>
      </c>
      <c r="K94" s="16" t="s">
        <v>267</v>
      </c>
      <c r="L94" s="16"/>
      <c r="M94" s="16"/>
      <c r="N94" s="23" t="str">
        <f>HYPERLINK("http://slimages.macys.com/is/image/MCY/18612807 ")</f>
        <v xml:space="preserve">http://slimages.macys.com/is/image/MCY/18612807 </v>
      </c>
    </row>
    <row r="95" spans="1:14" x14ac:dyDescent="0.25">
      <c r="A95" s="21" t="s">
        <v>1458</v>
      </c>
      <c r="B95" s="16" t="s">
        <v>1459</v>
      </c>
      <c r="C95" s="17">
        <v>26</v>
      </c>
      <c r="D95" s="22">
        <v>14.99</v>
      </c>
      <c r="E95" s="22">
        <v>389.74</v>
      </c>
      <c r="F95" s="17" t="s">
        <v>307</v>
      </c>
      <c r="G95" s="16" t="s">
        <v>107</v>
      </c>
      <c r="H95" s="21" t="s">
        <v>55</v>
      </c>
      <c r="I95" s="16" t="s">
        <v>11</v>
      </c>
      <c r="J95" s="16" t="s">
        <v>266</v>
      </c>
      <c r="K95" s="16" t="s">
        <v>267</v>
      </c>
      <c r="L95" s="16"/>
      <c r="M95" s="16"/>
      <c r="N95" s="23" t="str">
        <f>HYPERLINK("http://slimages.macys.com/is/image/MCY/19885951 ")</f>
        <v xml:space="preserve">http://slimages.macys.com/is/image/MCY/19885951 </v>
      </c>
    </row>
    <row r="96" spans="1:14" x14ac:dyDescent="0.25">
      <c r="A96" s="21" t="s">
        <v>308</v>
      </c>
      <c r="B96" s="16" t="s">
        <v>309</v>
      </c>
      <c r="C96" s="17">
        <v>14</v>
      </c>
      <c r="D96" s="22">
        <v>14.99</v>
      </c>
      <c r="E96" s="22">
        <v>209.86</v>
      </c>
      <c r="F96" s="17" t="s">
        <v>307</v>
      </c>
      <c r="G96" s="16" t="s">
        <v>107</v>
      </c>
      <c r="H96" s="21" t="s">
        <v>47</v>
      </c>
      <c r="I96" s="16" t="s">
        <v>11</v>
      </c>
      <c r="J96" s="16" t="s">
        <v>266</v>
      </c>
      <c r="K96" s="16" t="s">
        <v>267</v>
      </c>
      <c r="L96" s="16"/>
      <c r="M96" s="16"/>
      <c r="N96" s="23" t="str">
        <f>HYPERLINK("http://slimages.macys.com/is/image/MCY/19885992 ")</f>
        <v xml:space="preserve">http://slimages.macys.com/is/image/MCY/19885992 </v>
      </c>
    </row>
    <row r="97" spans="1:14" x14ac:dyDescent="0.25">
      <c r="A97" s="21" t="s">
        <v>1454</v>
      </c>
      <c r="B97" s="16" t="s">
        <v>1455</v>
      </c>
      <c r="C97" s="17">
        <v>1</v>
      </c>
      <c r="D97" s="22">
        <v>27.99</v>
      </c>
      <c r="E97" s="22">
        <v>27.99</v>
      </c>
      <c r="F97" s="17" t="s">
        <v>302</v>
      </c>
      <c r="G97" s="16" t="s">
        <v>78</v>
      </c>
      <c r="H97" s="21" t="s">
        <v>55</v>
      </c>
      <c r="I97" s="16" t="s">
        <v>11</v>
      </c>
      <c r="J97" s="16" t="s">
        <v>266</v>
      </c>
      <c r="K97" s="16" t="s">
        <v>267</v>
      </c>
      <c r="L97" s="16"/>
      <c r="M97" s="16"/>
      <c r="N97" s="23" t="str">
        <f>HYPERLINK("http://slimages.macys.com/is/image/MCY/18532801 ")</f>
        <v xml:space="preserve">http://slimages.macys.com/is/image/MCY/18532801 </v>
      </c>
    </row>
    <row r="98" spans="1:14" x14ac:dyDescent="0.25">
      <c r="A98" s="21" t="s">
        <v>476</v>
      </c>
      <c r="B98" s="16" t="s">
        <v>477</v>
      </c>
      <c r="C98" s="17">
        <v>38</v>
      </c>
      <c r="D98" s="22">
        <v>10</v>
      </c>
      <c r="E98" s="22">
        <v>380</v>
      </c>
      <c r="F98" s="17">
        <v>100132111</v>
      </c>
      <c r="G98" s="16" t="s">
        <v>458</v>
      </c>
      <c r="H98" s="21" t="s">
        <v>32</v>
      </c>
      <c r="I98" s="16" t="s">
        <v>11</v>
      </c>
      <c r="J98" s="16" t="s">
        <v>457</v>
      </c>
      <c r="K98" s="16" t="s">
        <v>459</v>
      </c>
      <c r="L98" s="16"/>
      <c r="M98" s="16"/>
      <c r="N98" s="23" t="str">
        <f>HYPERLINK("http://slimages.macys.com/is/image/MCY/19278707 ")</f>
        <v xml:space="preserve">http://slimages.macys.com/is/image/MCY/19278707 </v>
      </c>
    </row>
    <row r="99" spans="1:14" x14ac:dyDescent="0.25">
      <c r="A99" s="21" t="s">
        <v>1570</v>
      </c>
      <c r="B99" s="16" t="s">
        <v>1571</v>
      </c>
      <c r="C99" s="17">
        <v>52</v>
      </c>
      <c r="D99" s="22">
        <v>10</v>
      </c>
      <c r="E99" s="22">
        <v>520</v>
      </c>
      <c r="F99" s="17">
        <v>100132111</v>
      </c>
      <c r="G99" s="16" t="s">
        <v>458</v>
      </c>
      <c r="H99" s="21" t="s">
        <v>40</v>
      </c>
      <c r="I99" s="16" t="s">
        <v>11</v>
      </c>
      <c r="J99" s="16" t="s">
        <v>457</v>
      </c>
      <c r="K99" s="16" t="s">
        <v>459</v>
      </c>
      <c r="L99" s="16"/>
      <c r="M99" s="16"/>
      <c r="N99" s="23" t="str">
        <f>HYPERLINK("http://slimages.macys.com/is/image/MCY/19278703 ")</f>
        <v xml:space="preserve">http://slimages.macys.com/is/image/MCY/19278703 </v>
      </c>
    </row>
    <row r="100" spans="1:14" x14ac:dyDescent="0.25">
      <c r="A100" s="21" t="s">
        <v>563</v>
      </c>
      <c r="B100" s="16" t="s">
        <v>564</v>
      </c>
      <c r="C100" s="17">
        <v>1</v>
      </c>
      <c r="D100" s="22">
        <v>5.6</v>
      </c>
      <c r="E100" s="22">
        <v>5.6</v>
      </c>
      <c r="F100" s="17">
        <v>100117142</v>
      </c>
      <c r="G100" s="16" t="s">
        <v>83</v>
      </c>
      <c r="H100" s="21" t="s">
        <v>87</v>
      </c>
      <c r="I100" s="16" t="s">
        <v>11</v>
      </c>
      <c r="J100" s="16" t="s">
        <v>457</v>
      </c>
      <c r="K100" s="16" t="s">
        <v>459</v>
      </c>
      <c r="L100" s="16"/>
      <c r="M100" s="16"/>
      <c r="N100" s="23"/>
    </row>
    <row r="101" spans="1:14" x14ac:dyDescent="0.25">
      <c r="A101" s="21" t="s">
        <v>1590</v>
      </c>
      <c r="B101" s="16" t="s">
        <v>1591</v>
      </c>
      <c r="C101" s="17">
        <v>7</v>
      </c>
      <c r="D101" s="22">
        <v>26.6</v>
      </c>
      <c r="E101" s="22">
        <v>186.2</v>
      </c>
      <c r="F101" s="17">
        <v>16678</v>
      </c>
      <c r="G101" s="16" t="s">
        <v>137</v>
      </c>
      <c r="H101" s="21" t="s">
        <v>27</v>
      </c>
      <c r="I101" s="16" t="s">
        <v>11</v>
      </c>
      <c r="J101" s="16" t="s">
        <v>539</v>
      </c>
      <c r="K101" s="16" t="s">
        <v>889</v>
      </c>
      <c r="L101" s="16"/>
      <c r="M101" s="16"/>
      <c r="N101" s="23" t="str">
        <f>HYPERLINK("http://slimages.macys.com/is/image/MCY/20006286 ")</f>
        <v xml:space="preserve">http://slimages.macys.com/is/image/MCY/20006286 </v>
      </c>
    </row>
    <row r="102" spans="1:14" x14ac:dyDescent="0.25">
      <c r="A102" s="21" t="s">
        <v>1588</v>
      </c>
      <c r="B102" s="16" t="s">
        <v>1589</v>
      </c>
      <c r="C102" s="17">
        <v>1</v>
      </c>
      <c r="D102" s="22">
        <v>26.6</v>
      </c>
      <c r="E102" s="22">
        <v>26.6</v>
      </c>
      <c r="F102" s="17">
        <v>16678</v>
      </c>
      <c r="G102" s="16" t="s">
        <v>37</v>
      </c>
      <c r="H102" s="21" t="s">
        <v>27</v>
      </c>
      <c r="I102" s="16" t="s">
        <v>11</v>
      </c>
      <c r="J102" s="16" t="s">
        <v>539</v>
      </c>
      <c r="K102" s="16" t="s">
        <v>889</v>
      </c>
      <c r="L102" s="16"/>
      <c r="M102" s="16"/>
      <c r="N102" s="23" t="str">
        <f>HYPERLINK("http://slimages.macys.com/is/image/MCY/18653165 ")</f>
        <v xml:space="preserve">http://slimages.macys.com/is/image/MCY/18653165 </v>
      </c>
    </row>
    <row r="103" spans="1:14" x14ac:dyDescent="0.25">
      <c r="A103" s="21" t="s">
        <v>1431</v>
      </c>
      <c r="B103" s="16" t="s">
        <v>1432</v>
      </c>
      <c r="C103" s="17">
        <v>1</v>
      </c>
      <c r="D103" s="22">
        <v>39</v>
      </c>
      <c r="E103" s="22">
        <v>39</v>
      </c>
      <c r="F103" s="17" t="s">
        <v>1433</v>
      </c>
      <c r="G103" s="16" t="s">
        <v>58</v>
      </c>
      <c r="H103" s="21" t="s">
        <v>55</v>
      </c>
      <c r="I103" s="16" t="s">
        <v>11</v>
      </c>
      <c r="J103" s="16" t="s">
        <v>240</v>
      </c>
      <c r="K103" s="16" t="s">
        <v>245</v>
      </c>
      <c r="L103" s="16"/>
      <c r="M103" s="16"/>
      <c r="N103" s="23" t="str">
        <f>HYPERLINK("http://slimages.macys.com/is/image/MCY/19798627 ")</f>
        <v xml:space="preserve">http://slimages.macys.com/is/image/MCY/19798627 </v>
      </c>
    </row>
    <row r="104" spans="1:14" x14ac:dyDescent="0.25">
      <c r="A104" s="21" t="s">
        <v>1575</v>
      </c>
      <c r="B104" s="16" t="s">
        <v>1576</v>
      </c>
      <c r="C104" s="17">
        <v>6</v>
      </c>
      <c r="D104" s="22">
        <v>56.25</v>
      </c>
      <c r="E104" s="22">
        <v>337.5</v>
      </c>
      <c r="F104" s="17">
        <v>806881</v>
      </c>
      <c r="G104" s="16" t="s">
        <v>140</v>
      </c>
      <c r="H104" s="21" t="s">
        <v>55</v>
      </c>
      <c r="I104" s="16" t="s">
        <v>11</v>
      </c>
      <c r="J104" s="16" t="s">
        <v>539</v>
      </c>
      <c r="K104" s="16" t="s">
        <v>541</v>
      </c>
      <c r="L104" s="16"/>
      <c r="M104" s="16"/>
      <c r="N104" s="23" t="str">
        <f>HYPERLINK("http://slimages.macys.com/is/image/MCY/20139598 ")</f>
        <v xml:space="preserve">http://slimages.macys.com/is/image/MCY/20139598 </v>
      </c>
    </row>
    <row r="105" spans="1:14" x14ac:dyDescent="0.25">
      <c r="A105" s="21" t="s">
        <v>1583</v>
      </c>
      <c r="B105" s="16" t="s">
        <v>1584</v>
      </c>
      <c r="C105" s="17">
        <v>1</v>
      </c>
      <c r="D105" s="22">
        <v>34.5</v>
      </c>
      <c r="E105" s="22">
        <v>34.5</v>
      </c>
      <c r="F105" s="17" t="s">
        <v>1385</v>
      </c>
      <c r="G105" s="16"/>
      <c r="H105" s="21"/>
      <c r="I105" s="16" t="s">
        <v>11</v>
      </c>
      <c r="J105" s="16" t="s">
        <v>539</v>
      </c>
      <c r="K105" s="16" t="s">
        <v>541</v>
      </c>
      <c r="L105" s="16"/>
      <c r="M105" s="16"/>
      <c r="N105" s="23" t="str">
        <f>HYPERLINK("http://slimages.macys.com/is/image/MCY/20020211 ")</f>
        <v xml:space="preserve">http://slimages.macys.com/is/image/MCY/20020211 </v>
      </c>
    </row>
    <row r="106" spans="1:14" x14ac:dyDescent="0.25">
      <c r="A106" s="21" t="s">
        <v>1577</v>
      </c>
      <c r="B106" s="16" t="s">
        <v>1578</v>
      </c>
      <c r="C106" s="17">
        <v>1</v>
      </c>
      <c r="D106" s="22">
        <v>51.75</v>
      </c>
      <c r="E106" s="22">
        <v>51.75</v>
      </c>
      <c r="F106" s="17">
        <v>406111</v>
      </c>
      <c r="G106" s="16" t="s">
        <v>85</v>
      </c>
      <c r="H106" s="21" t="s">
        <v>27</v>
      </c>
      <c r="I106" s="16" t="s">
        <v>11</v>
      </c>
      <c r="J106" s="16" t="s">
        <v>539</v>
      </c>
      <c r="K106" s="16" t="s">
        <v>541</v>
      </c>
      <c r="L106" s="16"/>
      <c r="M106" s="16"/>
      <c r="N106" s="23" t="str">
        <f>HYPERLINK("http://slimages.macys.com/is/image/MCY/19965921 ")</f>
        <v xml:space="preserve">http://slimages.macys.com/is/image/MCY/19965921 </v>
      </c>
    </row>
    <row r="107" spans="1:14" x14ac:dyDescent="0.25">
      <c r="A107" s="21" t="s">
        <v>1528</v>
      </c>
      <c r="B107" s="16" t="s">
        <v>1529</v>
      </c>
      <c r="C107" s="17">
        <v>16</v>
      </c>
      <c r="D107" s="22">
        <v>28.8</v>
      </c>
      <c r="E107" s="22">
        <v>460.8</v>
      </c>
      <c r="F107" s="17" t="s">
        <v>1297</v>
      </c>
      <c r="G107" s="16" t="s">
        <v>378</v>
      </c>
      <c r="H107" s="21" t="s">
        <v>40</v>
      </c>
      <c r="I107" s="16" t="s">
        <v>11</v>
      </c>
      <c r="J107" s="16" t="s">
        <v>343</v>
      </c>
      <c r="K107" s="16" t="s">
        <v>393</v>
      </c>
      <c r="L107" s="16"/>
      <c r="M107" s="16"/>
      <c r="N107" s="23" t="str">
        <f>HYPERLINK("http://slimages.macys.com/is/image/MCY/20576871 ")</f>
        <v xml:space="preserve">http://slimages.macys.com/is/image/MCY/20576871 </v>
      </c>
    </row>
    <row r="108" spans="1:14" x14ac:dyDescent="0.25">
      <c r="A108" s="21" t="s">
        <v>1520</v>
      </c>
      <c r="B108" s="16" t="s">
        <v>1521</v>
      </c>
      <c r="C108" s="17">
        <v>15</v>
      </c>
      <c r="D108" s="22">
        <v>28.8</v>
      </c>
      <c r="E108" s="22">
        <v>432</v>
      </c>
      <c r="F108" s="17" t="s">
        <v>1297</v>
      </c>
      <c r="G108" s="16" t="s">
        <v>378</v>
      </c>
      <c r="H108" s="21" t="s">
        <v>55</v>
      </c>
      <c r="I108" s="16" t="s">
        <v>11</v>
      </c>
      <c r="J108" s="16" t="s">
        <v>343</v>
      </c>
      <c r="K108" s="16" t="s">
        <v>393</v>
      </c>
      <c r="L108" s="16"/>
      <c r="M108" s="16"/>
      <c r="N108" s="23" t="str">
        <f>HYPERLINK("http://slimages.macys.com/is/image/MCY/20576871 ")</f>
        <v xml:space="preserve">http://slimages.macys.com/is/image/MCY/20576871 </v>
      </c>
    </row>
    <row r="109" spans="1:14" x14ac:dyDescent="0.25">
      <c r="A109" s="21" t="s">
        <v>1526</v>
      </c>
      <c r="B109" s="16" t="s">
        <v>1527</v>
      </c>
      <c r="C109" s="17">
        <v>1</v>
      </c>
      <c r="D109" s="22">
        <v>28.8</v>
      </c>
      <c r="E109" s="22">
        <v>28.8</v>
      </c>
      <c r="F109" s="17" t="s">
        <v>1297</v>
      </c>
      <c r="G109" s="16" t="s">
        <v>140</v>
      </c>
      <c r="H109" s="21" t="s">
        <v>40</v>
      </c>
      <c r="I109" s="16" t="s">
        <v>11</v>
      </c>
      <c r="J109" s="16" t="s">
        <v>343</v>
      </c>
      <c r="K109" s="16" t="s">
        <v>393</v>
      </c>
      <c r="L109" s="16"/>
      <c r="M109" s="16"/>
      <c r="N109" s="23" t="str">
        <f>HYPERLINK("http://slimages.macys.com/is/image/MCY/20576871 ")</f>
        <v xml:space="preserve">http://slimages.macys.com/is/image/MCY/20576871 </v>
      </c>
    </row>
    <row r="110" spans="1:14" x14ac:dyDescent="0.25">
      <c r="A110" s="21" t="s">
        <v>1518</v>
      </c>
      <c r="B110" s="16" t="s">
        <v>1519</v>
      </c>
      <c r="C110" s="17">
        <v>2</v>
      </c>
      <c r="D110" s="22">
        <v>28.8</v>
      </c>
      <c r="E110" s="22">
        <v>57.6</v>
      </c>
      <c r="F110" s="17" t="s">
        <v>1297</v>
      </c>
      <c r="G110" s="16" t="s">
        <v>140</v>
      </c>
      <c r="H110" s="21" t="s">
        <v>55</v>
      </c>
      <c r="I110" s="16" t="s">
        <v>11</v>
      </c>
      <c r="J110" s="16" t="s">
        <v>343</v>
      </c>
      <c r="K110" s="16" t="s">
        <v>393</v>
      </c>
      <c r="L110" s="16"/>
      <c r="M110" s="16"/>
      <c r="N110" s="23" t="str">
        <f>HYPERLINK("http://slimages.macys.com/is/image/MCY/20576871 ")</f>
        <v xml:space="preserve">http://slimages.macys.com/is/image/MCY/20576871 </v>
      </c>
    </row>
    <row r="111" spans="1:14" x14ac:dyDescent="0.25">
      <c r="A111" s="21" t="s">
        <v>1524</v>
      </c>
      <c r="B111" s="16" t="s">
        <v>1525</v>
      </c>
      <c r="C111" s="17">
        <v>4</v>
      </c>
      <c r="D111" s="22">
        <v>28.8</v>
      </c>
      <c r="E111" s="22">
        <v>115.2</v>
      </c>
      <c r="F111" s="17" t="s">
        <v>1297</v>
      </c>
      <c r="G111" s="16" t="s">
        <v>135</v>
      </c>
      <c r="H111" s="21" t="s">
        <v>40</v>
      </c>
      <c r="I111" s="16" t="s">
        <v>11</v>
      </c>
      <c r="J111" s="16" t="s">
        <v>343</v>
      </c>
      <c r="K111" s="16" t="s">
        <v>393</v>
      </c>
      <c r="L111" s="16"/>
      <c r="M111" s="16"/>
      <c r="N111" s="23" t="str">
        <f>HYPERLINK("http://slimages.macys.com/is/image/MCY/20576871 ")</f>
        <v xml:space="preserve">http://slimages.macys.com/is/image/MCY/20576871 </v>
      </c>
    </row>
    <row r="112" spans="1:14" x14ac:dyDescent="0.25">
      <c r="A112" s="21" t="s">
        <v>1465</v>
      </c>
      <c r="B112" s="16" t="s">
        <v>1466</v>
      </c>
      <c r="C112" s="17">
        <v>22</v>
      </c>
      <c r="D112" s="22">
        <v>54</v>
      </c>
      <c r="E112" s="22">
        <v>1188</v>
      </c>
      <c r="F112" s="17" t="s">
        <v>1467</v>
      </c>
      <c r="G112" s="16" t="s">
        <v>62</v>
      </c>
      <c r="H112" s="21" t="s">
        <v>227</v>
      </c>
      <c r="I112" s="16" t="s">
        <v>11</v>
      </c>
      <c r="J112" s="16" t="s">
        <v>343</v>
      </c>
      <c r="K112" s="16" t="s">
        <v>1468</v>
      </c>
      <c r="L112" s="16"/>
      <c r="M112" s="16"/>
      <c r="N112" s="23" t="str">
        <f>HYPERLINK("http://slimages.macys.com/is/image/MCY/20226394 ")</f>
        <v xml:space="preserve">http://slimages.macys.com/is/image/MCY/20226394 </v>
      </c>
    </row>
    <row r="113" spans="1:14" x14ac:dyDescent="0.25">
      <c r="A113" s="21" t="s">
        <v>1534</v>
      </c>
      <c r="B113" s="16" t="s">
        <v>1535</v>
      </c>
      <c r="C113" s="17">
        <v>12</v>
      </c>
      <c r="D113" s="22">
        <v>25.2</v>
      </c>
      <c r="E113" s="22">
        <v>302.39999999999998</v>
      </c>
      <c r="F113" s="17" t="s">
        <v>1301</v>
      </c>
      <c r="G113" s="16" t="s">
        <v>135</v>
      </c>
      <c r="H113" s="21" t="s">
        <v>32</v>
      </c>
      <c r="I113" s="16" t="s">
        <v>11</v>
      </c>
      <c r="J113" s="16" t="s">
        <v>343</v>
      </c>
      <c r="K113" s="16" t="s">
        <v>379</v>
      </c>
      <c r="L113" s="16"/>
      <c r="M113" s="16"/>
      <c r="N113" s="23" t="str">
        <f>HYPERLINK("http://slimages.macys.com/is/image/MCY/20376290 ")</f>
        <v xml:space="preserve">http://slimages.macys.com/is/image/MCY/20376290 </v>
      </c>
    </row>
    <row r="114" spans="1:14" x14ac:dyDescent="0.25">
      <c r="A114" s="21" t="s">
        <v>1530</v>
      </c>
      <c r="B114" s="16" t="s">
        <v>1531</v>
      </c>
      <c r="C114" s="17">
        <v>8</v>
      </c>
      <c r="D114" s="22">
        <v>25.2</v>
      </c>
      <c r="E114" s="22">
        <v>201.6</v>
      </c>
      <c r="F114" s="17" t="s">
        <v>1301</v>
      </c>
      <c r="G114" s="16" t="s">
        <v>122</v>
      </c>
      <c r="H114" s="21" t="s">
        <v>32</v>
      </c>
      <c r="I114" s="16" t="s">
        <v>11</v>
      </c>
      <c r="J114" s="16" t="s">
        <v>343</v>
      </c>
      <c r="K114" s="16" t="s">
        <v>379</v>
      </c>
      <c r="L114" s="16"/>
      <c r="M114" s="16"/>
      <c r="N114" s="23" t="str">
        <f>HYPERLINK("http://slimages.macys.com/is/image/MCY/20376290 ")</f>
        <v xml:space="preserve">http://slimages.macys.com/is/image/MCY/20376290 </v>
      </c>
    </row>
    <row r="115" spans="1:14" x14ac:dyDescent="0.25">
      <c r="A115" s="21" t="s">
        <v>1540</v>
      </c>
      <c r="B115" s="16" t="s">
        <v>1541</v>
      </c>
      <c r="C115" s="17">
        <v>8</v>
      </c>
      <c r="D115" s="22">
        <v>25.2</v>
      </c>
      <c r="E115" s="22">
        <v>201.6</v>
      </c>
      <c r="F115" s="17" t="s">
        <v>1301</v>
      </c>
      <c r="G115" s="16" t="s">
        <v>122</v>
      </c>
      <c r="H115" s="21" t="s">
        <v>40</v>
      </c>
      <c r="I115" s="16" t="s">
        <v>11</v>
      </c>
      <c r="J115" s="16" t="s">
        <v>343</v>
      </c>
      <c r="K115" s="16" t="s">
        <v>379</v>
      </c>
      <c r="L115" s="16"/>
      <c r="M115" s="16"/>
      <c r="N115" s="23" t="str">
        <f>HYPERLINK("http://slimages.macys.com/is/image/MCY/20376290 ")</f>
        <v xml:space="preserve">http://slimages.macys.com/is/image/MCY/20376290 </v>
      </c>
    </row>
    <row r="116" spans="1:14" x14ac:dyDescent="0.25">
      <c r="A116" s="21" t="s">
        <v>1532</v>
      </c>
      <c r="B116" s="16" t="s">
        <v>1533</v>
      </c>
      <c r="C116" s="17">
        <v>6</v>
      </c>
      <c r="D116" s="22">
        <v>25.2</v>
      </c>
      <c r="E116" s="22">
        <v>151.19999999999999</v>
      </c>
      <c r="F116" s="17" t="s">
        <v>1301</v>
      </c>
      <c r="G116" s="16" t="s">
        <v>122</v>
      </c>
      <c r="H116" s="21" t="s">
        <v>27</v>
      </c>
      <c r="I116" s="16" t="s">
        <v>11</v>
      </c>
      <c r="J116" s="16" t="s">
        <v>343</v>
      </c>
      <c r="K116" s="16" t="s">
        <v>379</v>
      </c>
      <c r="L116" s="16"/>
      <c r="M116" s="16"/>
      <c r="N116" s="23" t="str">
        <f>HYPERLINK("http://slimages.macys.com/is/image/MCY/20376290 ")</f>
        <v xml:space="preserve">http://slimages.macys.com/is/image/MCY/20376290 </v>
      </c>
    </row>
    <row r="117" spans="1:14" x14ac:dyDescent="0.25">
      <c r="A117" s="21" t="s">
        <v>1538</v>
      </c>
      <c r="B117" s="16" t="s">
        <v>1539</v>
      </c>
      <c r="C117" s="17">
        <v>1</v>
      </c>
      <c r="D117" s="22">
        <v>25.2</v>
      </c>
      <c r="E117" s="22">
        <v>25.2</v>
      </c>
      <c r="F117" s="17" t="s">
        <v>406</v>
      </c>
      <c r="G117" s="16" t="s">
        <v>44</v>
      </c>
      <c r="H117" s="21" t="s">
        <v>32</v>
      </c>
      <c r="I117" s="16" t="s">
        <v>11</v>
      </c>
      <c r="J117" s="16" t="s">
        <v>343</v>
      </c>
      <c r="K117" s="16" t="s">
        <v>379</v>
      </c>
      <c r="L117" s="16"/>
      <c r="M117" s="16"/>
      <c r="N117" s="23" t="str">
        <f>HYPERLINK("http://slimages.macys.com/is/image/MCY/19331234 ")</f>
        <v xml:space="preserve">http://slimages.macys.com/is/image/MCY/19331234 </v>
      </c>
    </row>
    <row r="118" spans="1:14" x14ac:dyDescent="0.25">
      <c r="A118" s="21" t="s">
        <v>395</v>
      </c>
      <c r="B118" s="16" t="s">
        <v>396</v>
      </c>
      <c r="C118" s="17">
        <v>1</v>
      </c>
      <c r="D118" s="22">
        <v>27.6</v>
      </c>
      <c r="E118" s="22">
        <v>27.6</v>
      </c>
      <c r="F118" s="17" t="s">
        <v>397</v>
      </c>
      <c r="G118" s="16" t="s">
        <v>122</v>
      </c>
      <c r="H118" s="21" t="s">
        <v>40</v>
      </c>
      <c r="I118" s="16" t="s">
        <v>11</v>
      </c>
      <c r="J118" s="16" t="s">
        <v>343</v>
      </c>
      <c r="K118" s="16" t="s">
        <v>379</v>
      </c>
      <c r="L118" s="16"/>
      <c r="M118" s="16"/>
      <c r="N118" s="23" t="str">
        <f>HYPERLINK("http://slimages.macys.com/is/image/MCY/19714138 ")</f>
        <v xml:space="preserve">http://slimages.macys.com/is/image/MCY/19714138 </v>
      </c>
    </row>
    <row r="119" spans="1:14" x14ac:dyDescent="0.25">
      <c r="A119" s="21" t="s">
        <v>1046</v>
      </c>
      <c r="B119" s="16" t="s">
        <v>1047</v>
      </c>
      <c r="C119" s="17">
        <v>1</v>
      </c>
      <c r="D119" s="22">
        <v>27</v>
      </c>
      <c r="E119" s="22">
        <v>27</v>
      </c>
      <c r="F119" s="17" t="s">
        <v>1048</v>
      </c>
      <c r="G119" s="16" t="s">
        <v>83</v>
      </c>
      <c r="H119" s="21" t="s">
        <v>40</v>
      </c>
      <c r="I119" s="16" t="s">
        <v>11</v>
      </c>
      <c r="J119" s="16" t="s">
        <v>343</v>
      </c>
      <c r="K119" s="16" t="s">
        <v>379</v>
      </c>
      <c r="L119" s="16"/>
      <c r="M119" s="16"/>
      <c r="N119" s="23" t="str">
        <f>HYPERLINK("http://slimages.macys.com/is/image/MCY/19652390 ")</f>
        <v xml:space="preserve">http://slimages.macys.com/is/image/MCY/19652390 </v>
      </c>
    </row>
    <row r="120" spans="1:14" x14ac:dyDescent="0.25">
      <c r="A120" s="21" t="s">
        <v>1536</v>
      </c>
      <c r="B120" s="16" t="s">
        <v>1537</v>
      </c>
      <c r="C120" s="17">
        <v>1</v>
      </c>
      <c r="D120" s="22">
        <v>27.6</v>
      </c>
      <c r="E120" s="22">
        <v>27.6</v>
      </c>
      <c r="F120" s="17" t="s">
        <v>774</v>
      </c>
      <c r="G120" s="16" t="s">
        <v>122</v>
      </c>
      <c r="H120" s="21" t="s">
        <v>32</v>
      </c>
      <c r="I120" s="16" t="s">
        <v>11</v>
      </c>
      <c r="J120" s="16" t="s">
        <v>343</v>
      </c>
      <c r="K120" s="16" t="s">
        <v>379</v>
      </c>
      <c r="L120" s="16"/>
      <c r="M120" s="16"/>
      <c r="N120" s="23" t="str">
        <f>HYPERLINK("http://slimages.macys.com/is/image/MCY/18830003 ")</f>
        <v xml:space="preserve">http://slimages.macys.com/is/image/MCY/18830003 </v>
      </c>
    </row>
    <row r="121" spans="1:14" x14ac:dyDescent="0.25">
      <c r="A121" s="21" t="s">
        <v>398</v>
      </c>
      <c r="B121" s="16" t="s">
        <v>399</v>
      </c>
      <c r="C121" s="17">
        <v>1</v>
      </c>
      <c r="D121" s="22">
        <v>28.8</v>
      </c>
      <c r="E121" s="22">
        <v>28.8</v>
      </c>
      <c r="F121" s="17" t="s">
        <v>400</v>
      </c>
      <c r="G121" s="16" t="s">
        <v>44</v>
      </c>
      <c r="H121" s="21" t="s">
        <v>40</v>
      </c>
      <c r="I121" s="16" t="s">
        <v>11</v>
      </c>
      <c r="J121" s="16" t="s">
        <v>343</v>
      </c>
      <c r="K121" s="16" t="s">
        <v>379</v>
      </c>
      <c r="L121" s="16"/>
      <c r="M121" s="16"/>
      <c r="N121" s="23" t="str">
        <f>HYPERLINK("http://slimages.macys.com/is/image/MCY/19388545 ")</f>
        <v xml:space="preserve">http://slimages.macys.com/is/image/MCY/19388545 </v>
      </c>
    </row>
    <row r="122" spans="1:14" x14ac:dyDescent="0.25">
      <c r="A122" s="21" t="s">
        <v>1508</v>
      </c>
      <c r="B122" s="16" t="s">
        <v>1509</v>
      </c>
      <c r="C122" s="17">
        <v>1</v>
      </c>
      <c r="D122" s="22">
        <v>27.6</v>
      </c>
      <c r="E122" s="22">
        <v>27.6</v>
      </c>
      <c r="F122" s="17" t="s">
        <v>1045</v>
      </c>
      <c r="G122" s="16" t="s">
        <v>137</v>
      </c>
      <c r="H122" s="21" t="s">
        <v>32</v>
      </c>
      <c r="I122" s="16" t="s">
        <v>11</v>
      </c>
      <c r="J122" s="16" t="s">
        <v>343</v>
      </c>
      <c r="K122" s="16" t="s">
        <v>379</v>
      </c>
      <c r="L122" s="16"/>
      <c r="M122" s="16"/>
      <c r="N122" s="23" t="str">
        <f>HYPERLINK("http://slimages.macys.com/is/image/MCY/20376353 ")</f>
        <v xml:space="preserve">http://slimages.macys.com/is/image/MCY/20376353 </v>
      </c>
    </row>
    <row r="123" spans="1:14" x14ac:dyDescent="0.25">
      <c r="A123" s="21" t="s">
        <v>1327</v>
      </c>
      <c r="B123" s="16" t="s">
        <v>1328</v>
      </c>
      <c r="C123" s="17">
        <v>16</v>
      </c>
      <c r="D123" s="22">
        <v>36</v>
      </c>
      <c r="E123" s="22">
        <v>576</v>
      </c>
      <c r="F123" s="17" t="s">
        <v>1306</v>
      </c>
      <c r="G123" s="16" t="s">
        <v>31</v>
      </c>
      <c r="H123" s="21" t="s">
        <v>40</v>
      </c>
      <c r="I123" s="16" t="s">
        <v>11</v>
      </c>
      <c r="J123" s="16" t="s">
        <v>343</v>
      </c>
      <c r="K123" s="16" t="s">
        <v>379</v>
      </c>
      <c r="L123" s="16"/>
      <c r="M123" s="16"/>
      <c r="N123" s="23" t="str">
        <f t="shared" ref="N123:N135" si="3">HYPERLINK("http://slimages.macys.com/is/image/MCY/19626293 ")</f>
        <v xml:space="preserve">http://slimages.macys.com/is/image/MCY/19626293 </v>
      </c>
    </row>
    <row r="124" spans="1:14" x14ac:dyDescent="0.25">
      <c r="A124" s="21" t="s">
        <v>1321</v>
      </c>
      <c r="B124" s="16" t="s">
        <v>1322</v>
      </c>
      <c r="C124" s="17">
        <v>12</v>
      </c>
      <c r="D124" s="22">
        <v>36</v>
      </c>
      <c r="E124" s="22">
        <v>432</v>
      </c>
      <c r="F124" s="17" t="s">
        <v>1306</v>
      </c>
      <c r="G124" s="16" t="s">
        <v>31</v>
      </c>
      <c r="H124" s="21" t="s">
        <v>55</v>
      </c>
      <c r="I124" s="16" t="s">
        <v>11</v>
      </c>
      <c r="J124" s="16" t="s">
        <v>343</v>
      </c>
      <c r="K124" s="16" t="s">
        <v>379</v>
      </c>
      <c r="L124" s="16"/>
      <c r="M124" s="16"/>
      <c r="N124" s="23" t="str">
        <f t="shared" si="3"/>
        <v xml:space="preserve">http://slimages.macys.com/is/image/MCY/19626293 </v>
      </c>
    </row>
    <row r="125" spans="1:14" x14ac:dyDescent="0.25">
      <c r="A125" s="21" t="s">
        <v>1544</v>
      </c>
      <c r="B125" s="16" t="s">
        <v>1545</v>
      </c>
      <c r="C125" s="17">
        <v>6</v>
      </c>
      <c r="D125" s="22">
        <v>36</v>
      </c>
      <c r="E125" s="22">
        <v>216</v>
      </c>
      <c r="F125" s="17" t="s">
        <v>1306</v>
      </c>
      <c r="G125" s="16" t="s">
        <v>31</v>
      </c>
      <c r="H125" s="21" t="s">
        <v>27</v>
      </c>
      <c r="I125" s="16" t="s">
        <v>11</v>
      </c>
      <c r="J125" s="16" t="s">
        <v>343</v>
      </c>
      <c r="K125" s="16" t="s">
        <v>379</v>
      </c>
      <c r="L125" s="16"/>
      <c r="M125" s="16"/>
      <c r="N125" s="23" t="str">
        <f t="shared" si="3"/>
        <v xml:space="preserve">http://slimages.macys.com/is/image/MCY/19626293 </v>
      </c>
    </row>
    <row r="126" spans="1:14" x14ac:dyDescent="0.25">
      <c r="A126" s="21" t="s">
        <v>1546</v>
      </c>
      <c r="B126" s="16" t="s">
        <v>1547</v>
      </c>
      <c r="C126" s="17">
        <v>9</v>
      </c>
      <c r="D126" s="22">
        <v>36</v>
      </c>
      <c r="E126" s="22">
        <v>324</v>
      </c>
      <c r="F126" s="17" t="s">
        <v>1306</v>
      </c>
      <c r="G126" s="16" t="s">
        <v>44</v>
      </c>
      <c r="H126" s="21" t="s">
        <v>32</v>
      </c>
      <c r="I126" s="16" t="s">
        <v>11</v>
      </c>
      <c r="J126" s="16" t="s">
        <v>343</v>
      </c>
      <c r="K126" s="16" t="s">
        <v>379</v>
      </c>
      <c r="L126" s="16"/>
      <c r="M126" s="16"/>
      <c r="N126" s="23" t="str">
        <f t="shared" si="3"/>
        <v xml:space="preserve">http://slimages.macys.com/is/image/MCY/19626293 </v>
      </c>
    </row>
    <row r="127" spans="1:14" x14ac:dyDescent="0.25">
      <c r="A127" s="21" t="s">
        <v>1315</v>
      </c>
      <c r="B127" s="16" t="s">
        <v>1316</v>
      </c>
      <c r="C127" s="17">
        <v>9</v>
      </c>
      <c r="D127" s="22">
        <v>36</v>
      </c>
      <c r="E127" s="22">
        <v>324</v>
      </c>
      <c r="F127" s="17" t="s">
        <v>1306</v>
      </c>
      <c r="G127" s="16" t="s">
        <v>44</v>
      </c>
      <c r="H127" s="21" t="s">
        <v>40</v>
      </c>
      <c r="I127" s="16" t="s">
        <v>11</v>
      </c>
      <c r="J127" s="16" t="s">
        <v>343</v>
      </c>
      <c r="K127" s="16" t="s">
        <v>379</v>
      </c>
      <c r="L127" s="16"/>
      <c r="M127" s="16"/>
      <c r="N127" s="23" t="str">
        <f t="shared" si="3"/>
        <v xml:space="preserve">http://slimages.macys.com/is/image/MCY/19626293 </v>
      </c>
    </row>
    <row r="128" spans="1:14" x14ac:dyDescent="0.25">
      <c r="A128" s="21" t="s">
        <v>1319</v>
      </c>
      <c r="B128" s="16" t="s">
        <v>1320</v>
      </c>
      <c r="C128" s="17">
        <v>8</v>
      </c>
      <c r="D128" s="22">
        <v>36</v>
      </c>
      <c r="E128" s="22">
        <v>288</v>
      </c>
      <c r="F128" s="17" t="s">
        <v>1306</v>
      </c>
      <c r="G128" s="16" t="s">
        <v>44</v>
      </c>
      <c r="H128" s="21" t="s">
        <v>55</v>
      </c>
      <c r="I128" s="16" t="s">
        <v>11</v>
      </c>
      <c r="J128" s="16" t="s">
        <v>343</v>
      </c>
      <c r="K128" s="16" t="s">
        <v>379</v>
      </c>
      <c r="L128" s="16"/>
      <c r="M128" s="16"/>
      <c r="N128" s="23" t="str">
        <f t="shared" si="3"/>
        <v xml:space="preserve">http://slimages.macys.com/is/image/MCY/19626293 </v>
      </c>
    </row>
    <row r="129" spans="1:14" x14ac:dyDescent="0.25">
      <c r="A129" s="21" t="s">
        <v>1325</v>
      </c>
      <c r="B129" s="16" t="s">
        <v>1326</v>
      </c>
      <c r="C129" s="17">
        <v>45</v>
      </c>
      <c r="D129" s="22">
        <v>36</v>
      </c>
      <c r="E129" s="22">
        <v>1620</v>
      </c>
      <c r="F129" s="17" t="s">
        <v>1306</v>
      </c>
      <c r="G129" s="16" t="s">
        <v>86</v>
      </c>
      <c r="H129" s="21" t="s">
        <v>32</v>
      </c>
      <c r="I129" s="16" t="s">
        <v>11</v>
      </c>
      <c r="J129" s="16" t="s">
        <v>343</v>
      </c>
      <c r="K129" s="16" t="s">
        <v>379</v>
      </c>
      <c r="L129" s="16"/>
      <c r="M129" s="16"/>
      <c r="N129" s="23" t="str">
        <f t="shared" si="3"/>
        <v xml:space="preserve">http://slimages.macys.com/is/image/MCY/19626293 </v>
      </c>
    </row>
    <row r="130" spans="1:14" x14ac:dyDescent="0.25">
      <c r="A130" s="21" t="s">
        <v>1550</v>
      </c>
      <c r="B130" s="16" t="s">
        <v>1551</v>
      </c>
      <c r="C130" s="17">
        <v>57</v>
      </c>
      <c r="D130" s="22">
        <v>36</v>
      </c>
      <c r="E130" s="22">
        <v>2052</v>
      </c>
      <c r="F130" s="17" t="s">
        <v>1306</v>
      </c>
      <c r="G130" s="16" t="s">
        <v>86</v>
      </c>
      <c r="H130" s="21" t="s">
        <v>40</v>
      </c>
      <c r="I130" s="16" t="s">
        <v>11</v>
      </c>
      <c r="J130" s="16" t="s">
        <v>343</v>
      </c>
      <c r="K130" s="16" t="s">
        <v>379</v>
      </c>
      <c r="L130" s="16"/>
      <c r="M130" s="16"/>
      <c r="N130" s="23" t="str">
        <f t="shared" si="3"/>
        <v xml:space="preserve">http://slimages.macys.com/is/image/MCY/19626293 </v>
      </c>
    </row>
    <row r="131" spans="1:14" x14ac:dyDescent="0.25">
      <c r="A131" s="21" t="s">
        <v>1542</v>
      </c>
      <c r="B131" s="16" t="s">
        <v>1543</v>
      </c>
      <c r="C131" s="17">
        <v>9</v>
      </c>
      <c r="D131" s="22">
        <v>36</v>
      </c>
      <c r="E131" s="22">
        <v>324</v>
      </c>
      <c r="F131" s="17" t="s">
        <v>1306</v>
      </c>
      <c r="G131" s="16" t="s">
        <v>86</v>
      </c>
      <c r="H131" s="21" t="s">
        <v>55</v>
      </c>
      <c r="I131" s="16" t="s">
        <v>11</v>
      </c>
      <c r="J131" s="16" t="s">
        <v>343</v>
      </c>
      <c r="K131" s="16" t="s">
        <v>379</v>
      </c>
      <c r="L131" s="16"/>
      <c r="M131" s="16"/>
      <c r="N131" s="23" t="str">
        <f t="shared" si="3"/>
        <v xml:space="preserve">http://slimages.macys.com/is/image/MCY/19626293 </v>
      </c>
    </row>
    <row r="132" spans="1:14" x14ac:dyDescent="0.25">
      <c r="A132" s="21" t="s">
        <v>1311</v>
      </c>
      <c r="B132" s="16" t="s">
        <v>1312</v>
      </c>
      <c r="C132" s="17">
        <v>4</v>
      </c>
      <c r="D132" s="22">
        <v>36</v>
      </c>
      <c r="E132" s="22">
        <v>144</v>
      </c>
      <c r="F132" s="17" t="s">
        <v>1306</v>
      </c>
      <c r="G132" s="16" t="s">
        <v>349</v>
      </c>
      <c r="H132" s="21" t="s">
        <v>32</v>
      </c>
      <c r="I132" s="16" t="s">
        <v>11</v>
      </c>
      <c r="J132" s="16" t="s">
        <v>343</v>
      </c>
      <c r="K132" s="16" t="s">
        <v>379</v>
      </c>
      <c r="L132" s="16"/>
      <c r="M132" s="16"/>
      <c r="N132" s="23" t="str">
        <f t="shared" si="3"/>
        <v xml:space="preserve">http://slimages.macys.com/is/image/MCY/19626293 </v>
      </c>
    </row>
    <row r="133" spans="1:14" x14ac:dyDescent="0.25">
      <c r="A133" s="21" t="s">
        <v>1317</v>
      </c>
      <c r="B133" s="16" t="s">
        <v>1318</v>
      </c>
      <c r="C133" s="17">
        <v>12</v>
      </c>
      <c r="D133" s="22">
        <v>36</v>
      </c>
      <c r="E133" s="22">
        <v>432</v>
      </c>
      <c r="F133" s="17" t="s">
        <v>1306</v>
      </c>
      <c r="G133" s="16" t="s">
        <v>349</v>
      </c>
      <c r="H133" s="21" t="s">
        <v>40</v>
      </c>
      <c r="I133" s="16" t="s">
        <v>11</v>
      </c>
      <c r="J133" s="16" t="s">
        <v>343</v>
      </c>
      <c r="K133" s="16" t="s">
        <v>379</v>
      </c>
      <c r="L133" s="16"/>
      <c r="M133" s="16"/>
      <c r="N133" s="23" t="str">
        <f t="shared" si="3"/>
        <v xml:space="preserve">http://slimages.macys.com/is/image/MCY/19626293 </v>
      </c>
    </row>
    <row r="134" spans="1:14" x14ac:dyDescent="0.25">
      <c r="A134" s="21" t="s">
        <v>1309</v>
      </c>
      <c r="B134" s="16" t="s">
        <v>1310</v>
      </c>
      <c r="C134" s="17">
        <v>3</v>
      </c>
      <c r="D134" s="22">
        <v>36</v>
      </c>
      <c r="E134" s="22">
        <v>108</v>
      </c>
      <c r="F134" s="17" t="s">
        <v>1306</v>
      </c>
      <c r="G134" s="16" t="s">
        <v>349</v>
      </c>
      <c r="H134" s="21" t="s">
        <v>55</v>
      </c>
      <c r="I134" s="16" t="s">
        <v>11</v>
      </c>
      <c r="J134" s="16" t="s">
        <v>343</v>
      </c>
      <c r="K134" s="16" t="s">
        <v>379</v>
      </c>
      <c r="L134" s="16"/>
      <c r="M134" s="16"/>
      <c r="N134" s="23" t="str">
        <f t="shared" si="3"/>
        <v xml:space="preserve">http://slimages.macys.com/is/image/MCY/19626293 </v>
      </c>
    </row>
    <row r="135" spans="1:14" x14ac:dyDescent="0.25">
      <c r="A135" s="21" t="s">
        <v>1307</v>
      </c>
      <c r="B135" s="16" t="s">
        <v>1308</v>
      </c>
      <c r="C135" s="17">
        <v>6</v>
      </c>
      <c r="D135" s="22">
        <v>36</v>
      </c>
      <c r="E135" s="22">
        <v>216</v>
      </c>
      <c r="F135" s="17" t="s">
        <v>1306</v>
      </c>
      <c r="G135" s="16" t="s">
        <v>349</v>
      </c>
      <c r="H135" s="21" t="s">
        <v>27</v>
      </c>
      <c r="I135" s="16" t="s">
        <v>11</v>
      </c>
      <c r="J135" s="16" t="s">
        <v>343</v>
      </c>
      <c r="K135" s="16" t="s">
        <v>379</v>
      </c>
      <c r="L135" s="16"/>
      <c r="M135" s="16"/>
      <c r="N135" s="23" t="str">
        <f t="shared" si="3"/>
        <v xml:space="preserve">http://slimages.macys.com/is/image/MCY/19626293 </v>
      </c>
    </row>
    <row r="136" spans="1:14" x14ac:dyDescent="0.25">
      <c r="A136" s="21" t="s">
        <v>1302</v>
      </c>
      <c r="B136" s="16" t="s">
        <v>1303</v>
      </c>
      <c r="C136" s="17">
        <v>1</v>
      </c>
      <c r="D136" s="22">
        <v>36</v>
      </c>
      <c r="E136" s="22">
        <v>36</v>
      </c>
      <c r="F136" s="17" t="s">
        <v>408</v>
      </c>
      <c r="G136" s="16" t="s">
        <v>349</v>
      </c>
      <c r="H136" s="21" t="s">
        <v>32</v>
      </c>
      <c r="I136" s="16" t="s">
        <v>11</v>
      </c>
      <c r="J136" s="16" t="s">
        <v>343</v>
      </c>
      <c r="K136" s="16" t="s">
        <v>379</v>
      </c>
      <c r="L136" s="16"/>
      <c r="M136" s="16"/>
      <c r="N136" s="23" t="str">
        <f>HYPERLINK("http://slimages.macys.com/is/image/MCY/19626301 ")</f>
        <v xml:space="preserve">http://slimages.macys.com/is/image/MCY/19626301 </v>
      </c>
    </row>
    <row r="137" spans="1:14" x14ac:dyDescent="0.25">
      <c r="A137" s="21" t="s">
        <v>1548</v>
      </c>
      <c r="B137" s="16" t="s">
        <v>1549</v>
      </c>
      <c r="C137" s="17">
        <v>19</v>
      </c>
      <c r="D137" s="22">
        <v>36</v>
      </c>
      <c r="E137" s="22">
        <v>684</v>
      </c>
      <c r="F137" s="17" t="s">
        <v>408</v>
      </c>
      <c r="G137" s="16" t="s">
        <v>349</v>
      </c>
      <c r="H137" s="21" t="s">
        <v>27</v>
      </c>
      <c r="I137" s="16" t="s">
        <v>11</v>
      </c>
      <c r="J137" s="16" t="s">
        <v>343</v>
      </c>
      <c r="K137" s="16" t="s">
        <v>379</v>
      </c>
      <c r="L137" s="16"/>
      <c r="M137" s="16"/>
      <c r="N137" s="23" t="str">
        <f>HYPERLINK("http://slimages.macys.com/is/image/MCY/19626301 ")</f>
        <v xml:space="preserve">http://slimages.macys.com/is/image/MCY/19626301 </v>
      </c>
    </row>
    <row r="138" spans="1:14" x14ac:dyDescent="0.25">
      <c r="A138" s="21" t="s">
        <v>1416</v>
      </c>
      <c r="B138" s="16" t="s">
        <v>1417</v>
      </c>
      <c r="C138" s="17">
        <v>1</v>
      </c>
      <c r="D138" s="22">
        <v>48</v>
      </c>
      <c r="E138" s="22">
        <v>48</v>
      </c>
      <c r="F138" s="17">
        <v>65547</v>
      </c>
      <c r="G138" s="16" t="s">
        <v>31</v>
      </c>
      <c r="H138" s="21" t="s">
        <v>236</v>
      </c>
      <c r="I138" s="16" t="s">
        <v>11</v>
      </c>
      <c r="J138" s="16" t="s">
        <v>233</v>
      </c>
      <c r="K138" s="16" t="s">
        <v>234</v>
      </c>
      <c r="L138" s="16" t="s">
        <v>111</v>
      </c>
      <c r="M138" s="16" t="s">
        <v>113</v>
      </c>
      <c r="N138" s="23" t="str">
        <f>HYPERLINK("http://slimages.macys.com/is/image/MCY/3651267 ")</f>
        <v xml:space="preserve">http://slimages.macys.com/is/image/MCY/3651267 </v>
      </c>
    </row>
    <row r="139" spans="1:14" x14ac:dyDescent="0.25">
      <c r="A139" s="21" t="s">
        <v>1418</v>
      </c>
      <c r="B139" s="16" t="s">
        <v>1419</v>
      </c>
      <c r="C139" s="17">
        <v>1</v>
      </c>
      <c r="D139" s="22">
        <v>48</v>
      </c>
      <c r="E139" s="22">
        <v>48</v>
      </c>
      <c r="F139" s="17">
        <v>65547</v>
      </c>
      <c r="G139" s="16" t="s">
        <v>114</v>
      </c>
      <c r="H139" s="21" t="s">
        <v>236</v>
      </c>
      <c r="I139" s="16" t="s">
        <v>11</v>
      </c>
      <c r="J139" s="16" t="s">
        <v>233</v>
      </c>
      <c r="K139" s="16" t="s">
        <v>234</v>
      </c>
      <c r="L139" s="16" t="s">
        <v>111</v>
      </c>
      <c r="M139" s="16" t="s">
        <v>113</v>
      </c>
      <c r="N139" s="23" t="str">
        <f>HYPERLINK("http://slimages.macys.com/is/image/MCY/3651267 ")</f>
        <v xml:space="preserve">http://slimages.macys.com/is/image/MCY/3651267 </v>
      </c>
    </row>
    <row r="140" spans="1:14" x14ac:dyDescent="0.25">
      <c r="A140" s="21" t="s">
        <v>1522</v>
      </c>
      <c r="B140" s="16" t="s">
        <v>1523</v>
      </c>
      <c r="C140" s="17">
        <v>1</v>
      </c>
      <c r="D140" s="22">
        <v>24.5</v>
      </c>
      <c r="E140" s="22">
        <v>24.5</v>
      </c>
      <c r="F140" s="17" t="s">
        <v>401</v>
      </c>
      <c r="G140" s="16" t="s">
        <v>174</v>
      </c>
      <c r="H140" s="21" t="s">
        <v>27</v>
      </c>
      <c r="I140" s="16" t="s">
        <v>11</v>
      </c>
      <c r="J140" s="16" t="s">
        <v>343</v>
      </c>
      <c r="K140" s="16" t="s">
        <v>393</v>
      </c>
      <c r="L140" s="16"/>
      <c r="M140" s="16"/>
      <c r="N140" s="23" t="str">
        <f>HYPERLINK("http://slimages.macys.com/is/image/MCY/18657762 ")</f>
        <v xml:space="preserve">http://slimages.macys.com/is/image/MCY/18657762 </v>
      </c>
    </row>
  </sheetData>
  <autoFilter ref="A1:N140">
    <sortState ref="A2:N140">
      <sortCondition ref="B1:B140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0"/>
  <sheetViews>
    <sheetView workbookViewId="0">
      <selection activeCell="C7" sqref="C7"/>
    </sheetView>
  </sheetViews>
  <sheetFormatPr defaultColWidth="69.7109375" defaultRowHeight="15" x14ac:dyDescent="0.25"/>
  <cols>
    <col min="1" max="1" width="13.140625" style="12" bestFit="1" customWidth="1"/>
    <col min="2" max="2" width="69.140625" style="12" bestFit="1" customWidth="1"/>
    <col min="3" max="3" width="12.42578125" style="12" bestFit="1" customWidth="1"/>
    <col min="4" max="4" width="15" style="12" bestFit="1" customWidth="1"/>
    <col min="5" max="5" width="21" style="12" bestFit="1" customWidth="1"/>
    <col min="6" max="6" width="15.85546875" style="12" bestFit="1" customWidth="1"/>
    <col min="7" max="7" width="12.28515625" style="12" bestFit="1" customWidth="1"/>
    <col min="8" max="8" width="10.85546875" style="12" bestFit="1" customWidth="1"/>
    <col min="9" max="9" width="8.140625" style="12" bestFit="1" customWidth="1"/>
    <col min="10" max="10" width="17.5703125" style="12" bestFit="1" customWidth="1"/>
    <col min="11" max="11" width="38.140625" style="12" bestFit="1" customWidth="1"/>
    <col min="12" max="12" width="17.7109375" style="12" bestFit="1" customWidth="1"/>
    <col min="13" max="13" width="27.85546875" style="12" bestFit="1" customWidth="1"/>
    <col min="14" max="14" width="48.140625" style="12" bestFit="1" customWidth="1"/>
    <col min="15" max="16384" width="69.7109375" style="12"/>
  </cols>
  <sheetData>
    <row r="1" spans="1:14" x14ac:dyDescent="0.25">
      <c r="A1" s="1" t="s">
        <v>12</v>
      </c>
      <c r="B1" s="1" t="s">
        <v>13</v>
      </c>
      <c r="C1" s="1" t="s">
        <v>14</v>
      </c>
      <c r="D1" s="1" t="s">
        <v>5</v>
      </c>
      <c r="E1" s="1" t="s">
        <v>9</v>
      </c>
      <c r="F1" s="1" t="s">
        <v>15</v>
      </c>
      <c r="G1" s="1" t="s">
        <v>16</v>
      </c>
      <c r="H1" s="1" t="s">
        <v>17</v>
      </c>
      <c r="I1" s="1" t="s">
        <v>10</v>
      </c>
      <c r="J1" s="1" t="s">
        <v>18</v>
      </c>
      <c r="K1" s="1" t="s">
        <v>19</v>
      </c>
      <c r="L1" s="1" t="s">
        <v>20</v>
      </c>
      <c r="M1" s="1" t="s">
        <v>21</v>
      </c>
      <c r="N1" s="1" t="s">
        <v>22</v>
      </c>
    </row>
    <row r="2" spans="1:14" x14ac:dyDescent="0.25">
      <c r="A2" s="19" t="s">
        <v>1865</v>
      </c>
      <c r="B2" s="13" t="s">
        <v>1866</v>
      </c>
      <c r="C2" s="8">
        <v>1</v>
      </c>
      <c r="D2" s="9">
        <v>32.99</v>
      </c>
      <c r="E2" s="9">
        <v>32.99</v>
      </c>
      <c r="F2" s="8" t="s">
        <v>1867</v>
      </c>
      <c r="G2" s="13" t="s">
        <v>85</v>
      </c>
      <c r="H2" s="19" t="s">
        <v>55</v>
      </c>
      <c r="I2" s="13" t="s">
        <v>11</v>
      </c>
      <c r="J2" s="13" t="s">
        <v>28</v>
      </c>
      <c r="K2" s="13" t="s">
        <v>29</v>
      </c>
      <c r="L2" s="13"/>
      <c r="M2" s="13"/>
      <c r="N2" s="20" t="str">
        <f>HYPERLINK("http://slimages.macys.com/is/image/MCY/19788674 ")</f>
        <v xml:space="preserve">http://slimages.macys.com/is/image/MCY/19788674 </v>
      </c>
    </row>
    <row r="3" spans="1:14" x14ac:dyDescent="0.25">
      <c r="A3" s="19" t="s">
        <v>41</v>
      </c>
      <c r="B3" s="13" t="s">
        <v>42</v>
      </c>
      <c r="C3" s="8">
        <v>6</v>
      </c>
      <c r="D3" s="9">
        <v>34.99</v>
      </c>
      <c r="E3" s="9">
        <v>209.94</v>
      </c>
      <c r="F3" s="8" t="s">
        <v>43</v>
      </c>
      <c r="G3" s="13" t="s">
        <v>44</v>
      </c>
      <c r="H3" s="19" t="s">
        <v>40</v>
      </c>
      <c r="I3" s="13" t="s">
        <v>11</v>
      </c>
      <c r="J3" s="13" t="s">
        <v>28</v>
      </c>
      <c r="K3" s="13" t="s">
        <v>29</v>
      </c>
      <c r="L3" s="13"/>
      <c r="M3" s="13"/>
      <c r="N3" s="20" t="str">
        <f>HYPERLINK("http://slimages.macys.com/is/image/MCY/18574724 ")</f>
        <v xml:space="preserve">http://slimages.macys.com/is/image/MCY/18574724 </v>
      </c>
    </row>
    <row r="4" spans="1:14" x14ac:dyDescent="0.25">
      <c r="A4" s="19" t="s">
        <v>904</v>
      </c>
      <c r="B4" s="13" t="s">
        <v>905</v>
      </c>
      <c r="C4" s="8">
        <v>1</v>
      </c>
      <c r="D4" s="9">
        <v>49.99</v>
      </c>
      <c r="E4" s="9">
        <v>49.99</v>
      </c>
      <c r="F4" s="8" t="s">
        <v>81</v>
      </c>
      <c r="G4" s="13" t="s">
        <v>31</v>
      </c>
      <c r="H4" s="19" t="s">
        <v>47</v>
      </c>
      <c r="I4" s="13" t="s">
        <v>11</v>
      </c>
      <c r="J4" s="13" t="s">
        <v>28</v>
      </c>
      <c r="K4" s="13" t="s">
        <v>29</v>
      </c>
      <c r="L4" s="13"/>
      <c r="M4" s="13"/>
      <c r="N4" s="20" t="str">
        <f>HYPERLINK("http://slimages.macys.com/is/image/MCY/19339137 ")</f>
        <v xml:space="preserve">http://slimages.macys.com/is/image/MCY/19339137 </v>
      </c>
    </row>
    <row r="5" spans="1:14" x14ac:dyDescent="0.25">
      <c r="A5" s="19" t="s">
        <v>1850</v>
      </c>
      <c r="B5" s="13" t="s">
        <v>1851</v>
      </c>
      <c r="C5" s="8">
        <v>1</v>
      </c>
      <c r="D5" s="9">
        <v>49.99</v>
      </c>
      <c r="E5" s="9">
        <v>49.99</v>
      </c>
      <c r="F5" s="8" t="s">
        <v>908</v>
      </c>
      <c r="G5" s="13" t="s">
        <v>127</v>
      </c>
      <c r="H5" s="19" t="s">
        <v>40</v>
      </c>
      <c r="I5" s="13" t="s">
        <v>11</v>
      </c>
      <c r="J5" s="13" t="s">
        <v>28</v>
      </c>
      <c r="K5" s="13" t="s">
        <v>29</v>
      </c>
      <c r="L5" s="13"/>
      <c r="M5" s="13"/>
      <c r="N5" s="20" t="str">
        <f>HYPERLINK("http://slimages.macys.com/is/image/MCY/19339137 ")</f>
        <v xml:space="preserve">http://slimages.macys.com/is/image/MCY/19339137 </v>
      </c>
    </row>
    <row r="6" spans="1:14" x14ac:dyDescent="0.25">
      <c r="A6" s="19" t="s">
        <v>1852</v>
      </c>
      <c r="B6" s="13" t="s">
        <v>1853</v>
      </c>
      <c r="C6" s="8">
        <v>1</v>
      </c>
      <c r="D6" s="9">
        <v>49.99</v>
      </c>
      <c r="E6" s="9">
        <v>49.99</v>
      </c>
      <c r="F6" s="8" t="s">
        <v>908</v>
      </c>
      <c r="G6" s="13" t="s">
        <v>127</v>
      </c>
      <c r="H6" s="19" t="s">
        <v>87</v>
      </c>
      <c r="I6" s="13" t="s">
        <v>11</v>
      </c>
      <c r="J6" s="13" t="s">
        <v>28</v>
      </c>
      <c r="K6" s="13" t="s">
        <v>29</v>
      </c>
      <c r="L6" s="13"/>
      <c r="M6" s="13"/>
      <c r="N6" s="20" t="str">
        <f>HYPERLINK("http://slimages.macys.com/is/image/MCY/19339137 ")</f>
        <v xml:space="preserve">http://slimages.macys.com/is/image/MCY/19339137 </v>
      </c>
    </row>
    <row r="7" spans="1:14" x14ac:dyDescent="0.25">
      <c r="A7" s="19" t="s">
        <v>1824</v>
      </c>
      <c r="B7" s="13" t="s">
        <v>1825</v>
      </c>
      <c r="C7" s="8">
        <v>1</v>
      </c>
      <c r="D7" s="9">
        <v>59.99</v>
      </c>
      <c r="E7" s="9">
        <v>59.99</v>
      </c>
      <c r="F7" s="8" t="s">
        <v>901</v>
      </c>
      <c r="G7" s="13" t="s">
        <v>31</v>
      </c>
      <c r="H7" s="19" t="s">
        <v>87</v>
      </c>
      <c r="I7" s="13" t="s">
        <v>11</v>
      </c>
      <c r="J7" s="13" t="s">
        <v>28</v>
      </c>
      <c r="K7" s="13" t="s">
        <v>29</v>
      </c>
      <c r="L7" s="13"/>
      <c r="M7" s="13"/>
      <c r="N7" s="20" t="str">
        <f>HYPERLINK("http://slimages.macys.com/is/image/MCY/18201707 ")</f>
        <v xml:space="preserve">http://slimages.macys.com/is/image/MCY/18201707 </v>
      </c>
    </row>
    <row r="8" spans="1:14" x14ac:dyDescent="0.25">
      <c r="A8" s="19" t="s">
        <v>1846</v>
      </c>
      <c r="B8" s="13" t="s">
        <v>1847</v>
      </c>
      <c r="C8" s="8">
        <v>1</v>
      </c>
      <c r="D8" s="9">
        <v>39.99</v>
      </c>
      <c r="E8" s="9">
        <v>39.99</v>
      </c>
      <c r="F8" s="8" t="s">
        <v>1413</v>
      </c>
      <c r="G8" s="13" t="s">
        <v>488</v>
      </c>
      <c r="H8" s="19" t="s">
        <v>286</v>
      </c>
      <c r="I8" s="13" t="s">
        <v>11</v>
      </c>
      <c r="J8" s="13" t="s">
        <v>28</v>
      </c>
      <c r="K8" s="13" t="s">
        <v>29</v>
      </c>
      <c r="L8" s="13"/>
      <c r="M8" s="13"/>
      <c r="N8" s="20" t="str">
        <f>HYPERLINK("http://slimages.macys.com/is/image/MCY/18201705 ")</f>
        <v xml:space="preserve">http://slimages.macys.com/is/image/MCY/18201705 </v>
      </c>
    </row>
    <row r="9" spans="1:14" x14ac:dyDescent="0.25">
      <c r="A9" s="19" t="s">
        <v>1848</v>
      </c>
      <c r="B9" s="13" t="s">
        <v>1849</v>
      </c>
      <c r="C9" s="8">
        <v>2</v>
      </c>
      <c r="D9" s="9">
        <v>39.99</v>
      </c>
      <c r="E9" s="9">
        <v>79.98</v>
      </c>
      <c r="F9" s="8" t="s">
        <v>1413</v>
      </c>
      <c r="G9" s="13" t="s">
        <v>488</v>
      </c>
      <c r="H9" s="19" t="s">
        <v>158</v>
      </c>
      <c r="I9" s="13" t="s">
        <v>11</v>
      </c>
      <c r="J9" s="13" t="s">
        <v>28</v>
      </c>
      <c r="K9" s="13" t="s">
        <v>29</v>
      </c>
      <c r="L9" s="13"/>
      <c r="M9" s="13"/>
      <c r="N9" s="20" t="str">
        <f>HYPERLINK("http://slimages.macys.com/is/image/MCY/18201705 ")</f>
        <v xml:space="preserve">http://slimages.macys.com/is/image/MCY/18201705 </v>
      </c>
    </row>
    <row r="10" spans="1:14" x14ac:dyDescent="0.25">
      <c r="A10" s="19" t="s">
        <v>595</v>
      </c>
      <c r="B10" s="13" t="s">
        <v>596</v>
      </c>
      <c r="C10" s="8">
        <v>1</v>
      </c>
      <c r="D10" s="9">
        <v>26.99</v>
      </c>
      <c r="E10" s="9">
        <v>26.99</v>
      </c>
      <c r="F10" s="8" t="s">
        <v>592</v>
      </c>
      <c r="G10" s="13" t="s">
        <v>270</v>
      </c>
      <c r="H10" s="19" t="s">
        <v>27</v>
      </c>
      <c r="I10" s="13" t="s">
        <v>11</v>
      </c>
      <c r="J10" s="13" t="s">
        <v>28</v>
      </c>
      <c r="K10" s="13" t="s">
        <v>29</v>
      </c>
      <c r="L10" s="13"/>
      <c r="M10" s="13"/>
      <c r="N10" s="20" t="str">
        <f>HYPERLINK("http://slimages.macys.com/is/image/MCY/19036015 ")</f>
        <v xml:space="preserve">http://slimages.macys.com/is/image/MCY/19036015 </v>
      </c>
    </row>
    <row r="11" spans="1:14" x14ac:dyDescent="0.25">
      <c r="A11" s="19" t="s">
        <v>1655</v>
      </c>
      <c r="B11" s="13" t="s">
        <v>1856</v>
      </c>
      <c r="C11" s="8">
        <v>2</v>
      </c>
      <c r="D11" s="9">
        <v>34.99</v>
      </c>
      <c r="E11" s="9">
        <v>69.98</v>
      </c>
      <c r="F11" s="8" t="s">
        <v>90</v>
      </c>
      <c r="G11" s="13" t="s">
        <v>44</v>
      </c>
      <c r="H11" s="19" t="s">
        <v>32</v>
      </c>
      <c r="I11" s="13" t="s">
        <v>11</v>
      </c>
      <c r="J11" s="13" t="s">
        <v>28</v>
      </c>
      <c r="K11" s="13" t="s">
        <v>29</v>
      </c>
      <c r="L11" s="13"/>
      <c r="M11" s="13"/>
      <c r="N11" s="20" t="str">
        <f t="shared" ref="N11:N16" si="0">HYPERLINK("http://slimages.macys.com/is/image/MCY/19339149 ")</f>
        <v xml:space="preserve">http://slimages.macys.com/is/image/MCY/19339149 </v>
      </c>
    </row>
    <row r="12" spans="1:14" x14ac:dyDescent="0.25">
      <c r="A12" s="19" t="s">
        <v>88</v>
      </c>
      <c r="B12" s="13" t="s">
        <v>89</v>
      </c>
      <c r="C12" s="8">
        <v>7</v>
      </c>
      <c r="D12" s="9">
        <v>34.99</v>
      </c>
      <c r="E12" s="9">
        <v>244.93</v>
      </c>
      <c r="F12" s="8" t="s">
        <v>90</v>
      </c>
      <c r="G12" s="13" t="s">
        <v>44</v>
      </c>
      <c r="H12" s="19" t="s">
        <v>40</v>
      </c>
      <c r="I12" s="13" t="s">
        <v>11</v>
      </c>
      <c r="J12" s="13" t="s">
        <v>28</v>
      </c>
      <c r="K12" s="13" t="s">
        <v>29</v>
      </c>
      <c r="L12" s="13"/>
      <c r="M12" s="13"/>
      <c r="N12" s="20" t="str">
        <f t="shared" si="0"/>
        <v xml:space="preserve">http://slimages.macys.com/is/image/MCY/19339149 </v>
      </c>
    </row>
    <row r="13" spans="1:14" x14ac:dyDescent="0.25">
      <c r="A13" s="19" t="s">
        <v>1854</v>
      </c>
      <c r="B13" s="13" t="s">
        <v>1855</v>
      </c>
      <c r="C13" s="8">
        <v>3</v>
      </c>
      <c r="D13" s="9">
        <v>34.99</v>
      </c>
      <c r="E13" s="9">
        <v>104.97</v>
      </c>
      <c r="F13" s="8" t="s">
        <v>90</v>
      </c>
      <c r="G13" s="13" t="s">
        <v>44</v>
      </c>
      <c r="H13" s="19" t="s">
        <v>55</v>
      </c>
      <c r="I13" s="13" t="s">
        <v>11</v>
      </c>
      <c r="J13" s="13" t="s">
        <v>28</v>
      </c>
      <c r="K13" s="13" t="s">
        <v>29</v>
      </c>
      <c r="L13" s="13"/>
      <c r="M13" s="13"/>
      <c r="N13" s="20" t="str">
        <f t="shared" si="0"/>
        <v xml:space="preserve">http://slimages.macys.com/is/image/MCY/19339149 </v>
      </c>
    </row>
    <row r="14" spans="1:14" x14ac:dyDescent="0.25">
      <c r="A14" s="19" t="s">
        <v>91</v>
      </c>
      <c r="B14" s="13" t="s">
        <v>92</v>
      </c>
      <c r="C14" s="8">
        <v>4</v>
      </c>
      <c r="D14" s="9">
        <v>34.99</v>
      </c>
      <c r="E14" s="9">
        <v>139.96</v>
      </c>
      <c r="F14" s="8" t="s">
        <v>90</v>
      </c>
      <c r="G14" s="13" t="s">
        <v>44</v>
      </c>
      <c r="H14" s="19" t="s">
        <v>27</v>
      </c>
      <c r="I14" s="13" t="s">
        <v>11</v>
      </c>
      <c r="J14" s="13" t="s">
        <v>28</v>
      </c>
      <c r="K14" s="13" t="s">
        <v>29</v>
      </c>
      <c r="L14" s="13"/>
      <c r="M14" s="13"/>
      <c r="N14" s="20" t="str">
        <f t="shared" si="0"/>
        <v xml:space="preserve">http://slimages.macys.com/is/image/MCY/19339149 </v>
      </c>
    </row>
    <row r="15" spans="1:14" x14ac:dyDescent="0.25">
      <c r="A15" s="19" t="s">
        <v>1857</v>
      </c>
      <c r="B15" s="13" t="s">
        <v>1858</v>
      </c>
      <c r="C15" s="8">
        <v>2</v>
      </c>
      <c r="D15" s="9">
        <v>34.99</v>
      </c>
      <c r="E15" s="9">
        <v>69.98</v>
      </c>
      <c r="F15" s="8" t="s">
        <v>90</v>
      </c>
      <c r="G15" s="13" t="s">
        <v>44</v>
      </c>
      <c r="H15" s="19" t="s">
        <v>47</v>
      </c>
      <c r="I15" s="13" t="s">
        <v>11</v>
      </c>
      <c r="J15" s="13" t="s">
        <v>28</v>
      </c>
      <c r="K15" s="13" t="s">
        <v>29</v>
      </c>
      <c r="L15" s="13"/>
      <c r="M15" s="13"/>
      <c r="N15" s="20" t="str">
        <f t="shared" si="0"/>
        <v xml:space="preserve">http://slimages.macys.com/is/image/MCY/19339149 </v>
      </c>
    </row>
    <row r="16" spans="1:14" x14ac:dyDescent="0.25">
      <c r="A16" s="19" t="s">
        <v>1414</v>
      </c>
      <c r="B16" s="13" t="s">
        <v>1415</v>
      </c>
      <c r="C16" s="8">
        <v>2</v>
      </c>
      <c r="D16" s="9">
        <v>34.99</v>
      </c>
      <c r="E16" s="9">
        <v>69.98</v>
      </c>
      <c r="F16" s="8" t="s">
        <v>90</v>
      </c>
      <c r="G16" s="13" t="s">
        <v>44</v>
      </c>
      <c r="H16" s="19" t="s">
        <v>87</v>
      </c>
      <c r="I16" s="13" t="s">
        <v>11</v>
      </c>
      <c r="J16" s="13" t="s">
        <v>28</v>
      </c>
      <c r="K16" s="13" t="s">
        <v>29</v>
      </c>
      <c r="L16" s="13"/>
      <c r="M16" s="13"/>
      <c r="N16" s="20" t="str">
        <f t="shared" si="0"/>
        <v xml:space="preserve">http://slimages.macys.com/is/image/MCY/19339149 </v>
      </c>
    </row>
    <row r="17" spans="1:14" x14ac:dyDescent="0.25">
      <c r="A17" s="19" t="s">
        <v>1143</v>
      </c>
      <c r="B17" s="13" t="s">
        <v>1144</v>
      </c>
      <c r="C17" s="8">
        <v>2</v>
      </c>
      <c r="D17" s="9">
        <v>32.99</v>
      </c>
      <c r="E17" s="9">
        <v>65.98</v>
      </c>
      <c r="F17" s="8" t="s">
        <v>586</v>
      </c>
      <c r="G17" s="13" t="s">
        <v>127</v>
      </c>
      <c r="H17" s="19" t="s">
        <v>32</v>
      </c>
      <c r="I17" s="13" t="s">
        <v>11</v>
      </c>
      <c r="J17" s="13" t="s">
        <v>28</v>
      </c>
      <c r="K17" s="13" t="s">
        <v>29</v>
      </c>
      <c r="L17" s="13"/>
      <c r="M17" s="13"/>
      <c r="N17" s="20" t="str">
        <f t="shared" ref="N17:N22" si="1">HYPERLINK("http://slimages.macys.com/is/image/MCY/19208834 ")</f>
        <v xml:space="preserve">http://slimages.macys.com/is/image/MCY/19208834 </v>
      </c>
    </row>
    <row r="18" spans="1:14" x14ac:dyDescent="0.25">
      <c r="A18" s="19" t="s">
        <v>1863</v>
      </c>
      <c r="B18" s="13" t="s">
        <v>1864</v>
      </c>
      <c r="C18" s="8">
        <v>2</v>
      </c>
      <c r="D18" s="9">
        <v>32.99</v>
      </c>
      <c r="E18" s="9">
        <v>65.98</v>
      </c>
      <c r="F18" s="8" t="s">
        <v>586</v>
      </c>
      <c r="G18" s="13" t="s">
        <v>127</v>
      </c>
      <c r="H18" s="19" t="s">
        <v>40</v>
      </c>
      <c r="I18" s="13" t="s">
        <v>11</v>
      </c>
      <c r="J18" s="13" t="s">
        <v>28</v>
      </c>
      <c r="K18" s="13" t="s">
        <v>29</v>
      </c>
      <c r="L18" s="13"/>
      <c r="M18" s="13"/>
      <c r="N18" s="20" t="str">
        <f t="shared" si="1"/>
        <v xml:space="preserve">http://slimages.macys.com/is/image/MCY/19208834 </v>
      </c>
    </row>
    <row r="19" spans="1:14" x14ac:dyDescent="0.25">
      <c r="A19" s="19" t="s">
        <v>1861</v>
      </c>
      <c r="B19" s="13" t="s">
        <v>1862</v>
      </c>
      <c r="C19" s="8">
        <v>1</v>
      </c>
      <c r="D19" s="9">
        <v>32.99</v>
      </c>
      <c r="E19" s="9">
        <v>32.99</v>
      </c>
      <c r="F19" s="8" t="s">
        <v>586</v>
      </c>
      <c r="G19" s="13" t="s">
        <v>127</v>
      </c>
      <c r="H19" s="19" t="s">
        <v>55</v>
      </c>
      <c r="I19" s="13" t="s">
        <v>11</v>
      </c>
      <c r="J19" s="13" t="s">
        <v>28</v>
      </c>
      <c r="K19" s="13" t="s">
        <v>29</v>
      </c>
      <c r="L19" s="13"/>
      <c r="M19" s="13"/>
      <c r="N19" s="20" t="str">
        <f t="shared" si="1"/>
        <v xml:space="preserve">http://slimages.macys.com/is/image/MCY/19208834 </v>
      </c>
    </row>
    <row r="20" spans="1:14" x14ac:dyDescent="0.25">
      <c r="A20" s="19" t="s">
        <v>584</v>
      </c>
      <c r="B20" s="13" t="s">
        <v>585</v>
      </c>
      <c r="C20" s="8">
        <v>1</v>
      </c>
      <c r="D20" s="9">
        <v>32.99</v>
      </c>
      <c r="E20" s="9">
        <v>32.99</v>
      </c>
      <c r="F20" s="8" t="s">
        <v>586</v>
      </c>
      <c r="G20" s="13" t="s">
        <v>127</v>
      </c>
      <c r="H20" s="19" t="s">
        <v>27</v>
      </c>
      <c r="I20" s="13" t="s">
        <v>11</v>
      </c>
      <c r="J20" s="13" t="s">
        <v>28</v>
      </c>
      <c r="K20" s="13" t="s">
        <v>29</v>
      </c>
      <c r="L20" s="13"/>
      <c r="M20" s="13"/>
      <c r="N20" s="20" t="str">
        <f t="shared" si="1"/>
        <v xml:space="preserve">http://slimages.macys.com/is/image/MCY/19208834 </v>
      </c>
    </row>
    <row r="21" spans="1:14" x14ac:dyDescent="0.25">
      <c r="A21" s="19" t="s">
        <v>1859</v>
      </c>
      <c r="B21" s="13" t="s">
        <v>1860</v>
      </c>
      <c r="C21" s="8">
        <v>1</v>
      </c>
      <c r="D21" s="9">
        <v>32.99</v>
      </c>
      <c r="E21" s="9">
        <v>32.99</v>
      </c>
      <c r="F21" s="8" t="s">
        <v>586</v>
      </c>
      <c r="G21" s="13" t="s">
        <v>127</v>
      </c>
      <c r="H21" s="19" t="s">
        <v>47</v>
      </c>
      <c r="I21" s="13" t="s">
        <v>11</v>
      </c>
      <c r="J21" s="13" t="s">
        <v>28</v>
      </c>
      <c r="K21" s="13" t="s">
        <v>29</v>
      </c>
      <c r="L21" s="13"/>
      <c r="M21" s="13"/>
      <c r="N21" s="20" t="str">
        <f t="shared" si="1"/>
        <v xml:space="preserve">http://slimages.macys.com/is/image/MCY/19208834 </v>
      </c>
    </row>
    <row r="22" spans="1:14" x14ac:dyDescent="0.25">
      <c r="A22" s="19" t="s">
        <v>1145</v>
      </c>
      <c r="B22" s="13" t="s">
        <v>1146</v>
      </c>
      <c r="C22" s="8">
        <v>1</v>
      </c>
      <c r="D22" s="9">
        <v>32.99</v>
      </c>
      <c r="E22" s="9">
        <v>32.99</v>
      </c>
      <c r="F22" s="8" t="s">
        <v>586</v>
      </c>
      <c r="G22" s="13" t="s">
        <v>127</v>
      </c>
      <c r="H22" s="19" t="s">
        <v>87</v>
      </c>
      <c r="I22" s="13" t="s">
        <v>11</v>
      </c>
      <c r="J22" s="13" t="s">
        <v>28</v>
      </c>
      <c r="K22" s="13" t="s">
        <v>29</v>
      </c>
      <c r="L22" s="13"/>
      <c r="M22" s="13"/>
      <c r="N22" s="20" t="str">
        <f t="shared" si="1"/>
        <v xml:space="preserve">http://slimages.macys.com/is/image/MCY/19208834 </v>
      </c>
    </row>
    <row r="23" spans="1:14" x14ac:dyDescent="0.25">
      <c r="A23" s="19" t="s">
        <v>1133</v>
      </c>
      <c r="B23" s="13" t="s">
        <v>1134</v>
      </c>
      <c r="C23" s="8">
        <v>3</v>
      </c>
      <c r="D23" s="9">
        <v>39.99</v>
      </c>
      <c r="E23" s="9">
        <v>119.97</v>
      </c>
      <c r="F23" s="8" t="s">
        <v>576</v>
      </c>
      <c r="G23" s="13" t="s">
        <v>31</v>
      </c>
      <c r="H23" s="19" t="s">
        <v>32</v>
      </c>
      <c r="I23" s="13" t="s">
        <v>11</v>
      </c>
      <c r="J23" s="13" t="s">
        <v>28</v>
      </c>
      <c r="K23" s="13" t="s">
        <v>29</v>
      </c>
      <c r="L23" s="13"/>
      <c r="M23" s="13"/>
      <c r="N23" s="20" t="str">
        <f>HYPERLINK("http://slimages.macys.com/is/image/MCY/20051109 ")</f>
        <v xml:space="preserve">http://slimages.macys.com/is/image/MCY/20051109 </v>
      </c>
    </row>
    <row r="24" spans="1:14" x14ac:dyDescent="0.25">
      <c r="A24" s="19" t="s">
        <v>579</v>
      </c>
      <c r="B24" s="13" t="s">
        <v>580</v>
      </c>
      <c r="C24" s="8">
        <v>3</v>
      </c>
      <c r="D24" s="9">
        <v>39.99</v>
      </c>
      <c r="E24" s="9">
        <v>119.97</v>
      </c>
      <c r="F24" s="8" t="s">
        <v>576</v>
      </c>
      <c r="G24" s="13" t="s">
        <v>31</v>
      </c>
      <c r="H24" s="19" t="s">
        <v>40</v>
      </c>
      <c r="I24" s="13" t="s">
        <v>11</v>
      </c>
      <c r="J24" s="13" t="s">
        <v>28</v>
      </c>
      <c r="K24" s="13" t="s">
        <v>29</v>
      </c>
      <c r="L24" s="13"/>
      <c r="M24" s="13"/>
      <c r="N24" s="20" t="str">
        <f>HYPERLINK("http://slimages.macys.com/is/image/MCY/1017709 ")</f>
        <v xml:space="preserve">http://slimages.macys.com/is/image/MCY/1017709 </v>
      </c>
    </row>
    <row r="25" spans="1:14" x14ac:dyDescent="0.25">
      <c r="A25" s="19" t="s">
        <v>1840</v>
      </c>
      <c r="B25" s="13" t="s">
        <v>1841</v>
      </c>
      <c r="C25" s="8">
        <v>2</v>
      </c>
      <c r="D25" s="9">
        <v>39.99</v>
      </c>
      <c r="E25" s="9">
        <v>79.98</v>
      </c>
      <c r="F25" s="8" t="s">
        <v>576</v>
      </c>
      <c r="G25" s="13" t="s">
        <v>31</v>
      </c>
      <c r="H25" s="19" t="s">
        <v>55</v>
      </c>
      <c r="I25" s="13" t="s">
        <v>11</v>
      </c>
      <c r="J25" s="13" t="s">
        <v>28</v>
      </c>
      <c r="K25" s="13" t="s">
        <v>29</v>
      </c>
      <c r="L25" s="13"/>
      <c r="M25" s="13"/>
      <c r="N25" s="20" t="str">
        <f>HYPERLINK("http://slimages.macys.com/is/image/MCY/1017709 ")</f>
        <v xml:space="preserve">http://slimages.macys.com/is/image/MCY/1017709 </v>
      </c>
    </row>
    <row r="26" spans="1:14" x14ac:dyDescent="0.25">
      <c r="A26" s="19" t="s">
        <v>1842</v>
      </c>
      <c r="B26" s="13" t="s">
        <v>1843</v>
      </c>
      <c r="C26" s="8">
        <v>2</v>
      </c>
      <c r="D26" s="9">
        <v>39.99</v>
      </c>
      <c r="E26" s="9">
        <v>79.98</v>
      </c>
      <c r="F26" s="8" t="s">
        <v>576</v>
      </c>
      <c r="G26" s="13" t="s">
        <v>31</v>
      </c>
      <c r="H26" s="19" t="s">
        <v>27</v>
      </c>
      <c r="I26" s="13" t="s">
        <v>11</v>
      </c>
      <c r="J26" s="13" t="s">
        <v>28</v>
      </c>
      <c r="K26" s="13" t="s">
        <v>29</v>
      </c>
      <c r="L26" s="13"/>
      <c r="M26" s="13"/>
      <c r="N26" s="20" t="str">
        <f>HYPERLINK("http://slimages.macys.com/is/image/MCY/20051271 ")</f>
        <v xml:space="preserve">http://slimages.macys.com/is/image/MCY/20051271 </v>
      </c>
    </row>
    <row r="27" spans="1:14" x14ac:dyDescent="0.25">
      <c r="A27" s="19" t="s">
        <v>1838</v>
      </c>
      <c r="B27" s="13" t="s">
        <v>1839</v>
      </c>
      <c r="C27" s="8">
        <v>1</v>
      </c>
      <c r="D27" s="9">
        <v>39.99</v>
      </c>
      <c r="E27" s="9">
        <v>39.99</v>
      </c>
      <c r="F27" s="8" t="s">
        <v>576</v>
      </c>
      <c r="G27" s="13" t="s">
        <v>31</v>
      </c>
      <c r="H27" s="19" t="s">
        <v>47</v>
      </c>
      <c r="I27" s="13" t="s">
        <v>11</v>
      </c>
      <c r="J27" s="13" t="s">
        <v>28</v>
      </c>
      <c r="K27" s="13" t="s">
        <v>29</v>
      </c>
      <c r="L27" s="13"/>
      <c r="M27" s="13"/>
      <c r="N27" s="20" t="str">
        <f>HYPERLINK("http://slimages.macys.com/is/image/MCY/1017709 ")</f>
        <v xml:space="preserve">http://slimages.macys.com/is/image/MCY/1017709 </v>
      </c>
    </row>
    <row r="28" spans="1:14" x14ac:dyDescent="0.25">
      <c r="A28" s="19" t="s">
        <v>1844</v>
      </c>
      <c r="B28" s="13" t="s">
        <v>1845</v>
      </c>
      <c r="C28" s="8">
        <v>1</v>
      </c>
      <c r="D28" s="9">
        <v>39.99</v>
      </c>
      <c r="E28" s="9">
        <v>39.99</v>
      </c>
      <c r="F28" s="8" t="s">
        <v>576</v>
      </c>
      <c r="G28" s="13" t="s">
        <v>31</v>
      </c>
      <c r="H28" s="19" t="s">
        <v>87</v>
      </c>
      <c r="I28" s="13" t="s">
        <v>11</v>
      </c>
      <c r="J28" s="13" t="s">
        <v>28</v>
      </c>
      <c r="K28" s="13" t="s">
        <v>29</v>
      </c>
      <c r="L28" s="13"/>
      <c r="M28" s="13"/>
      <c r="N28" s="20" t="str">
        <f>HYPERLINK("http://slimages.macys.com/is/image/MCY/20051109 ")</f>
        <v xml:space="preserve">http://slimages.macys.com/is/image/MCY/20051109 </v>
      </c>
    </row>
    <row r="29" spans="1:14" x14ac:dyDescent="0.25">
      <c r="A29" s="19" t="s">
        <v>1832</v>
      </c>
      <c r="B29" s="13" t="s">
        <v>1833</v>
      </c>
      <c r="C29" s="8">
        <v>5</v>
      </c>
      <c r="D29" s="9">
        <v>39.99</v>
      </c>
      <c r="E29" s="9">
        <v>199.95</v>
      </c>
      <c r="F29" s="8" t="s">
        <v>1128</v>
      </c>
      <c r="G29" s="13" t="s">
        <v>44</v>
      </c>
      <c r="H29" s="19" t="s">
        <v>32</v>
      </c>
      <c r="I29" s="13" t="s">
        <v>11</v>
      </c>
      <c r="J29" s="13" t="s">
        <v>28</v>
      </c>
      <c r="K29" s="13" t="s">
        <v>29</v>
      </c>
      <c r="L29" s="13"/>
      <c r="M29" s="13"/>
      <c r="N29" s="20" t="str">
        <f t="shared" ref="N29:N34" si="2">HYPERLINK("http://slimages.macys.com/is/image/MCY/20052118 ")</f>
        <v xml:space="preserve">http://slimages.macys.com/is/image/MCY/20052118 </v>
      </c>
    </row>
    <row r="30" spans="1:14" x14ac:dyDescent="0.25">
      <c r="A30" s="19" t="s">
        <v>1830</v>
      </c>
      <c r="B30" s="13" t="s">
        <v>1831</v>
      </c>
      <c r="C30" s="8">
        <v>2</v>
      </c>
      <c r="D30" s="9">
        <v>39.99</v>
      </c>
      <c r="E30" s="9">
        <v>79.98</v>
      </c>
      <c r="F30" s="8" t="s">
        <v>1128</v>
      </c>
      <c r="G30" s="13" t="s">
        <v>44</v>
      </c>
      <c r="H30" s="19" t="s">
        <v>40</v>
      </c>
      <c r="I30" s="13" t="s">
        <v>11</v>
      </c>
      <c r="J30" s="13" t="s">
        <v>28</v>
      </c>
      <c r="K30" s="13" t="s">
        <v>29</v>
      </c>
      <c r="L30" s="13"/>
      <c r="M30" s="13"/>
      <c r="N30" s="20" t="str">
        <f t="shared" si="2"/>
        <v xml:space="preserve">http://slimages.macys.com/is/image/MCY/20052118 </v>
      </c>
    </row>
    <row r="31" spans="1:14" x14ac:dyDescent="0.25">
      <c r="A31" s="19" t="s">
        <v>1126</v>
      </c>
      <c r="B31" s="13" t="s">
        <v>1127</v>
      </c>
      <c r="C31" s="8">
        <v>2</v>
      </c>
      <c r="D31" s="9">
        <v>39.99</v>
      </c>
      <c r="E31" s="9">
        <v>79.98</v>
      </c>
      <c r="F31" s="8" t="s">
        <v>1128</v>
      </c>
      <c r="G31" s="13" t="s">
        <v>44</v>
      </c>
      <c r="H31" s="19" t="s">
        <v>55</v>
      </c>
      <c r="I31" s="13" t="s">
        <v>11</v>
      </c>
      <c r="J31" s="13" t="s">
        <v>28</v>
      </c>
      <c r="K31" s="13" t="s">
        <v>29</v>
      </c>
      <c r="L31" s="13"/>
      <c r="M31" s="13"/>
      <c r="N31" s="20" t="str">
        <f t="shared" si="2"/>
        <v xml:space="preserve">http://slimages.macys.com/is/image/MCY/20052118 </v>
      </c>
    </row>
    <row r="32" spans="1:14" x14ac:dyDescent="0.25">
      <c r="A32" s="19" t="s">
        <v>1129</v>
      </c>
      <c r="B32" s="13" t="s">
        <v>1130</v>
      </c>
      <c r="C32" s="8">
        <v>5</v>
      </c>
      <c r="D32" s="9">
        <v>39.99</v>
      </c>
      <c r="E32" s="9">
        <v>199.95</v>
      </c>
      <c r="F32" s="8" t="s">
        <v>1128</v>
      </c>
      <c r="G32" s="13" t="s">
        <v>44</v>
      </c>
      <c r="H32" s="19" t="s">
        <v>27</v>
      </c>
      <c r="I32" s="13" t="s">
        <v>11</v>
      </c>
      <c r="J32" s="13" t="s">
        <v>28</v>
      </c>
      <c r="K32" s="13" t="s">
        <v>29</v>
      </c>
      <c r="L32" s="13"/>
      <c r="M32" s="13"/>
      <c r="N32" s="20" t="str">
        <f t="shared" si="2"/>
        <v xml:space="preserve">http://slimages.macys.com/is/image/MCY/20052118 </v>
      </c>
    </row>
    <row r="33" spans="1:14" x14ac:dyDescent="0.25">
      <c r="A33" s="19" t="s">
        <v>1826</v>
      </c>
      <c r="B33" s="13" t="s">
        <v>1827</v>
      </c>
      <c r="C33" s="8">
        <v>3</v>
      </c>
      <c r="D33" s="9">
        <v>39.99</v>
      </c>
      <c r="E33" s="9">
        <v>119.97</v>
      </c>
      <c r="F33" s="8" t="s">
        <v>1128</v>
      </c>
      <c r="G33" s="13" t="s">
        <v>44</v>
      </c>
      <c r="H33" s="19" t="s">
        <v>47</v>
      </c>
      <c r="I33" s="13" t="s">
        <v>11</v>
      </c>
      <c r="J33" s="13" t="s">
        <v>28</v>
      </c>
      <c r="K33" s="13" t="s">
        <v>29</v>
      </c>
      <c r="L33" s="13"/>
      <c r="M33" s="13"/>
      <c r="N33" s="20" t="str">
        <f t="shared" si="2"/>
        <v xml:space="preserve">http://slimages.macys.com/is/image/MCY/20052118 </v>
      </c>
    </row>
    <row r="34" spans="1:14" x14ac:dyDescent="0.25">
      <c r="A34" s="19" t="s">
        <v>1828</v>
      </c>
      <c r="B34" s="13" t="s">
        <v>1829</v>
      </c>
      <c r="C34" s="8">
        <v>2</v>
      </c>
      <c r="D34" s="9">
        <v>39.99</v>
      </c>
      <c r="E34" s="9">
        <v>79.98</v>
      </c>
      <c r="F34" s="8" t="s">
        <v>1128</v>
      </c>
      <c r="G34" s="13" t="s">
        <v>44</v>
      </c>
      <c r="H34" s="19" t="s">
        <v>87</v>
      </c>
      <c r="I34" s="13" t="s">
        <v>11</v>
      </c>
      <c r="J34" s="13" t="s">
        <v>28</v>
      </c>
      <c r="K34" s="13" t="s">
        <v>29</v>
      </c>
      <c r="L34" s="13"/>
      <c r="M34" s="13"/>
      <c r="N34" s="20" t="str">
        <f t="shared" si="2"/>
        <v xml:space="preserve">http://slimages.macys.com/is/image/MCY/20052118 </v>
      </c>
    </row>
    <row r="35" spans="1:14" x14ac:dyDescent="0.25">
      <c r="A35" s="19" t="s">
        <v>1822</v>
      </c>
      <c r="B35" s="13" t="s">
        <v>1823</v>
      </c>
      <c r="C35" s="8">
        <v>1</v>
      </c>
      <c r="D35" s="9">
        <v>44.99</v>
      </c>
      <c r="E35" s="9">
        <v>44.99</v>
      </c>
      <c r="F35" s="8" t="s">
        <v>56</v>
      </c>
      <c r="G35" s="13" t="s">
        <v>31</v>
      </c>
      <c r="H35" s="19" t="s">
        <v>27</v>
      </c>
      <c r="I35" s="13" t="s">
        <v>11</v>
      </c>
      <c r="J35" s="13" t="s">
        <v>28</v>
      </c>
      <c r="K35" s="13" t="s">
        <v>29</v>
      </c>
      <c r="L35" s="13"/>
      <c r="M35" s="13"/>
      <c r="N35" s="20" t="str">
        <f>HYPERLINK("http://slimages.macys.com/is/image/MCY/19759760 ")</f>
        <v xml:space="preserve">http://slimages.macys.com/is/image/MCY/19759760 </v>
      </c>
    </row>
    <row r="36" spans="1:14" x14ac:dyDescent="0.25">
      <c r="A36" s="19" t="s">
        <v>1791</v>
      </c>
      <c r="B36" s="13" t="s">
        <v>1792</v>
      </c>
      <c r="C36" s="8">
        <v>1</v>
      </c>
      <c r="D36" s="9">
        <v>25.99</v>
      </c>
      <c r="E36" s="9">
        <v>25.99</v>
      </c>
      <c r="F36" s="8" t="s">
        <v>71</v>
      </c>
      <c r="G36" s="13" t="s">
        <v>31</v>
      </c>
      <c r="H36" s="19" t="s">
        <v>32</v>
      </c>
      <c r="I36" s="13" t="s">
        <v>11</v>
      </c>
      <c r="J36" s="13" t="s">
        <v>28</v>
      </c>
      <c r="K36" s="13" t="s">
        <v>29</v>
      </c>
      <c r="L36" s="13"/>
      <c r="M36" s="13"/>
      <c r="N36" s="20" t="str">
        <f>HYPERLINK("http://slimages.macys.com/is/image/MCY/18574734 ")</f>
        <v xml:space="preserve">http://slimages.macys.com/is/image/MCY/18574734 </v>
      </c>
    </row>
    <row r="37" spans="1:14" x14ac:dyDescent="0.25">
      <c r="A37" s="19" t="s">
        <v>1131</v>
      </c>
      <c r="B37" s="13" t="s">
        <v>1132</v>
      </c>
      <c r="C37" s="8">
        <v>2</v>
      </c>
      <c r="D37" s="9">
        <v>25.99</v>
      </c>
      <c r="E37" s="9">
        <v>51.98</v>
      </c>
      <c r="F37" s="8" t="s">
        <v>71</v>
      </c>
      <c r="G37" s="13" t="s">
        <v>31</v>
      </c>
      <c r="H37" s="19" t="s">
        <v>40</v>
      </c>
      <c r="I37" s="13" t="s">
        <v>11</v>
      </c>
      <c r="J37" s="13" t="s">
        <v>28</v>
      </c>
      <c r="K37" s="13" t="s">
        <v>29</v>
      </c>
      <c r="L37" s="13"/>
      <c r="M37" s="13"/>
      <c r="N37" s="20" t="str">
        <f>HYPERLINK("http://slimages.macys.com/is/image/MCY/18574734 ")</f>
        <v xml:space="preserve">http://slimages.macys.com/is/image/MCY/18574734 </v>
      </c>
    </row>
    <row r="38" spans="1:14" x14ac:dyDescent="0.25">
      <c r="A38" s="19" t="s">
        <v>69</v>
      </c>
      <c r="B38" s="13" t="s">
        <v>70</v>
      </c>
      <c r="C38" s="8">
        <v>1</v>
      </c>
      <c r="D38" s="9">
        <v>25.99</v>
      </c>
      <c r="E38" s="9">
        <v>25.99</v>
      </c>
      <c r="F38" s="8" t="s">
        <v>71</v>
      </c>
      <c r="G38" s="13" t="s">
        <v>31</v>
      </c>
      <c r="H38" s="19" t="s">
        <v>55</v>
      </c>
      <c r="I38" s="13" t="s">
        <v>11</v>
      </c>
      <c r="J38" s="13" t="s">
        <v>28</v>
      </c>
      <c r="K38" s="13" t="s">
        <v>29</v>
      </c>
      <c r="L38" s="13"/>
      <c r="M38" s="13"/>
      <c r="N38" s="20" t="str">
        <f>HYPERLINK("http://slimages.macys.com/is/image/MCY/18574734 ")</f>
        <v xml:space="preserve">http://slimages.macys.com/is/image/MCY/18574734 </v>
      </c>
    </row>
    <row r="39" spans="1:14" x14ac:dyDescent="0.25">
      <c r="A39" s="19" t="s">
        <v>1836</v>
      </c>
      <c r="B39" s="13" t="s">
        <v>1837</v>
      </c>
      <c r="C39" s="8">
        <v>1</v>
      </c>
      <c r="D39" s="9">
        <v>25.99</v>
      </c>
      <c r="E39" s="9">
        <v>25.99</v>
      </c>
      <c r="F39" s="8" t="s">
        <v>71</v>
      </c>
      <c r="G39" s="13" t="s">
        <v>31</v>
      </c>
      <c r="H39" s="19" t="s">
        <v>87</v>
      </c>
      <c r="I39" s="13" t="s">
        <v>11</v>
      </c>
      <c r="J39" s="13" t="s">
        <v>28</v>
      </c>
      <c r="K39" s="13" t="s">
        <v>29</v>
      </c>
      <c r="L39" s="13"/>
      <c r="M39" s="13"/>
      <c r="N39" s="20" t="str">
        <f>HYPERLINK("http://slimages.macys.com/is/image/MCY/18530225 ")</f>
        <v xml:space="preserve">http://slimages.macys.com/is/image/MCY/18530225 </v>
      </c>
    </row>
    <row r="40" spans="1:14" x14ac:dyDescent="0.25">
      <c r="A40" s="19" t="s">
        <v>1834</v>
      </c>
      <c r="B40" s="13" t="s">
        <v>1835</v>
      </c>
      <c r="C40" s="8">
        <v>1</v>
      </c>
      <c r="D40" s="9">
        <v>25.99</v>
      </c>
      <c r="E40" s="9">
        <v>25.99</v>
      </c>
      <c r="F40" s="8" t="s">
        <v>71</v>
      </c>
      <c r="G40" s="13" t="s">
        <v>76</v>
      </c>
      <c r="H40" s="19" t="s">
        <v>32</v>
      </c>
      <c r="I40" s="13" t="s">
        <v>11</v>
      </c>
      <c r="J40" s="13" t="s">
        <v>28</v>
      </c>
      <c r="K40" s="13" t="s">
        <v>29</v>
      </c>
      <c r="L40" s="13"/>
      <c r="M40" s="13"/>
      <c r="N40" s="20" t="str">
        <f>HYPERLINK("http://slimages.macys.com/is/image/MCY/18574734 ")</f>
        <v xml:space="preserve">http://slimages.macys.com/is/image/MCY/18574734 </v>
      </c>
    </row>
    <row r="41" spans="1:14" x14ac:dyDescent="0.25">
      <c r="A41" s="19" t="s">
        <v>570</v>
      </c>
      <c r="B41" s="13" t="s">
        <v>571</v>
      </c>
      <c r="C41" s="8">
        <v>1</v>
      </c>
      <c r="D41" s="9">
        <v>25.99</v>
      </c>
      <c r="E41" s="9">
        <v>25.99</v>
      </c>
      <c r="F41" s="8" t="s">
        <v>68</v>
      </c>
      <c r="G41" s="13" t="s">
        <v>44</v>
      </c>
      <c r="H41" s="19" t="s">
        <v>32</v>
      </c>
      <c r="I41" s="13" t="s">
        <v>11</v>
      </c>
      <c r="J41" s="13" t="s">
        <v>28</v>
      </c>
      <c r="K41" s="13" t="s">
        <v>29</v>
      </c>
      <c r="L41" s="13"/>
      <c r="M41" s="13"/>
      <c r="N41" s="20" t="str">
        <f>HYPERLINK("http://slimages.macys.com/is/image/MCY/18574734 ")</f>
        <v xml:space="preserve">http://slimages.macys.com/is/image/MCY/18574734 </v>
      </c>
    </row>
    <row r="42" spans="1:14" x14ac:dyDescent="0.25">
      <c r="A42" s="19" t="s">
        <v>66</v>
      </c>
      <c r="B42" s="13" t="s">
        <v>67</v>
      </c>
      <c r="C42" s="8">
        <v>2</v>
      </c>
      <c r="D42" s="9">
        <v>25.99</v>
      </c>
      <c r="E42" s="9">
        <v>51.98</v>
      </c>
      <c r="F42" s="8" t="s">
        <v>68</v>
      </c>
      <c r="G42" s="13" t="s">
        <v>44</v>
      </c>
      <c r="H42" s="19" t="s">
        <v>40</v>
      </c>
      <c r="I42" s="13" t="s">
        <v>11</v>
      </c>
      <c r="J42" s="13" t="s">
        <v>28</v>
      </c>
      <c r="K42" s="13" t="s">
        <v>29</v>
      </c>
      <c r="L42" s="13"/>
      <c r="M42" s="13"/>
      <c r="N42" s="20" t="str">
        <f>HYPERLINK("http://slimages.macys.com/is/image/MCY/18574734 ")</f>
        <v xml:space="preserve">http://slimages.macys.com/is/image/MCY/18574734 </v>
      </c>
    </row>
    <row r="43" spans="1:14" x14ac:dyDescent="0.25">
      <c r="A43" s="19" t="s">
        <v>1789</v>
      </c>
      <c r="B43" s="13" t="s">
        <v>1790</v>
      </c>
      <c r="C43" s="8">
        <v>1</v>
      </c>
      <c r="D43" s="9">
        <v>25.99</v>
      </c>
      <c r="E43" s="9">
        <v>25.99</v>
      </c>
      <c r="F43" s="8" t="s">
        <v>68</v>
      </c>
      <c r="G43" s="13" t="s">
        <v>44</v>
      </c>
      <c r="H43" s="19" t="s">
        <v>27</v>
      </c>
      <c r="I43" s="13" t="s">
        <v>11</v>
      </c>
      <c r="J43" s="13" t="s">
        <v>28</v>
      </c>
      <c r="K43" s="13" t="s">
        <v>29</v>
      </c>
      <c r="L43" s="13"/>
      <c r="M43" s="13"/>
      <c r="N43" s="20" t="str">
        <f>HYPERLINK("http://slimages.macys.com/is/image/MCY/18574734 ")</f>
        <v xml:space="preserve">http://slimages.macys.com/is/image/MCY/18574734 </v>
      </c>
    </row>
    <row r="44" spans="1:14" x14ac:dyDescent="0.25">
      <c r="A44" s="19" t="s">
        <v>568</v>
      </c>
      <c r="B44" s="13" t="s">
        <v>569</v>
      </c>
      <c r="C44" s="8">
        <v>2</v>
      </c>
      <c r="D44" s="9">
        <v>25.99</v>
      </c>
      <c r="E44" s="9">
        <v>51.98</v>
      </c>
      <c r="F44" s="8" t="s">
        <v>68</v>
      </c>
      <c r="G44" s="13" t="s">
        <v>44</v>
      </c>
      <c r="H44" s="19" t="s">
        <v>47</v>
      </c>
      <c r="I44" s="13" t="s">
        <v>11</v>
      </c>
      <c r="J44" s="13" t="s">
        <v>28</v>
      </c>
      <c r="K44" s="13" t="s">
        <v>29</v>
      </c>
      <c r="L44" s="13"/>
      <c r="M44" s="13"/>
      <c r="N44" s="20" t="str">
        <f>HYPERLINK("http://slimages.macys.com/is/image/MCY/18574734 ")</f>
        <v xml:space="preserve">http://slimages.macys.com/is/image/MCY/18574734 </v>
      </c>
    </row>
    <row r="45" spans="1:14" x14ac:dyDescent="0.25">
      <c r="A45" s="19" t="s">
        <v>1793</v>
      </c>
      <c r="B45" s="13" t="s">
        <v>1794</v>
      </c>
      <c r="C45" s="8">
        <v>1</v>
      </c>
      <c r="D45" s="9">
        <v>11.99</v>
      </c>
      <c r="E45" s="9">
        <v>11.99</v>
      </c>
      <c r="F45" s="8" t="s">
        <v>1795</v>
      </c>
      <c r="G45" s="13" t="s">
        <v>31</v>
      </c>
      <c r="H45" s="19" t="s">
        <v>1115</v>
      </c>
      <c r="I45" s="13" t="s">
        <v>11</v>
      </c>
      <c r="J45" s="13" t="s">
        <v>109</v>
      </c>
      <c r="K45" s="13" t="s">
        <v>110</v>
      </c>
      <c r="L45" s="13" t="s">
        <v>111</v>
      </c>
      <c r="M45" s="13" t="s">
        <v>113</v>
      </c>
      <c r="N45" s="20" t="str">
        <f>HYPERLINK("http://slimages.macys.com/is/image/MCY/9243148 ")</f>
        <v xml:space="preserve">http://slimages.macys.com/is/image/MCY/9243148 </v>
      </c>
    </row>
    <row r="46" spans="1:14" x14ac:dyDescent="0.25">
      <c r="A46" s="19" t="s">
        <v>1876</v>
      </c>
      <c r="B46" s="13" t="s">
        <v>1877</v>
      </c>
      <c r="C46" s="8">
        <v>2</v>
      </c>
      <c r="D46" s="9">
        <v>54</v>
      </c>
      <c r="E46" s="9">
        <v>108</v>
      </c>
      <c r="F46" s="8" t="s">
        <v>1878</v>
      </c>
      <c r="G46" s="13" t="s">
        <v>31</v>
      </c>
      <c r="H46" s="19" t="s">
        <v>55</v>
      </c>
      <c r="I46" s="13" t="s">
        <v>11</v>
      </c>
      <c r="J46" s="13" t="s">
        <v>142</v>
      </c>
      <c r="K46" s="13" t="s">
        <v>143</v>
      </c>
      <c r="L46" s="13"/>
      <c r="M46" s="13"/>
      <c r="N46" s="20" t="str">
        <f>HYPERLINK("http://slimages.macys.com/is/image/MCY/20242241 ")</f>
        <v xml:space="preserve">http://slimages.macys.com/is/image/MCY/20242241 </v>
      </c>
    </row>
    <row r="47" spans="1:14" x14ac:dyDescent="0.25">
      <c r="A47" s="19" t="s">
        <v>1895</v>
      </c>
      <c r="B47" s="13" t="s">
        <v>1896</v>
      </c>
      <c r="C47" s="8">
        <v>1</v>
      </c>
      <c r="D47" s="9">
        <v>11.67</v>
      </c>
      <c r="E47" s="9">
        <v>11.67</v>
      </c>
      <c r="F47" s="8" t="s">
        <v>193</v>
      </c>
      <c r="G47" s="13" t="s">
        <v>719</v>
      </c>
      <c r="H47" s="19" t="s">
        <v>40</v>
      </c>
      <c r="I47" s="13" t="s">
        <v>11</v>
      </c>
      <c r="J47" s="13" t="s">
        <v>142</v>
      </c>
      <c r="K47" s="13" t="s">
        <v>143</v>
      </c>
      <c r="L47" s="13"/>
      <c r="M47" s="13"/>
      <c r="N47" s="20" t="str">
        <f>HYPERLINK("http://slimages.macys.com/is/image/MCY/20529953 ")</f>
        <v xml:space="preserve">http://slimages.macys.com/is/image/MCY/20529953 </v>
      </c>
    </row>
    <row r="48" spans="1:14" x14ac:dyDescent="0.25">
      <c r="A48" s="19" t="s">
        <v>1890</v>
      </c>
      <c r="B48" s="13" t="s">
        <v>1891</v>
      </c>
      <c r="C48" s="8">
        <v>2</v>
      </c>
      <c r="D48" s="9">
        <v>25</v>
      </c>
      <c r="E48" s="9">
        <v>50</v>
      </c>
      <c r="F48" s="8" t="s">
        <v>1672</v>
      </c>
      <c r="G48" s="13" t="s">
        <v>44</v>
      </c>
      <c r="H48" s="19" t="s">
        <v>55</v>
      </c>
      <c r="I48" s="13" t="s">
        <v>11</v>
      </c>
      <c r="J48" s="13" t="s">
        <v>142</v>
      </c>
      <c r="K48" s="13" t="s">
        <v>143</v>
      </c>
      <c r="L48" s="13"/>
      <c r="M48" s="13"/>
      <c r="N48" s="20" t="str">
        <f>HYPERLINK("http://slimages.macys.com/is/image/MCY/19762497 ")</f>
        <v xml:space="preserve">http://slimages.macys.com/is/image/MCY/19762497 </v>
      </c>
    </row>
    <row r="49" spans="1:14" x14ac:dyDescent="0.25">
      <c r="A49" s="19" t="s">
        <v>1888</v>
      </c>
      <c r="B49" s="13" t="s">
        <v>1889</v>
      </c>
      <c r="C49" s="8">
        <v>4</v>
      </c>
      <c r="D49" s="9">
        <v>25</v>
      </c>
      <c r="E49" s="9">
        <v>100</v>
      </c>
      <c r="F49" s="8" t="s">
        <v>1672</v>
      </c>
      <c r="G49" s="13" t="s">
        <v>31</v>
      </c>
      <c r="H49" s="19" t="s">
        <v>55</v>
      </c>
      <c r="I49" s="13" t="s">
        <v>11</v>
      </c>
      <c r="J49" s="13" t="s">
        <v>142</v>
      </c>
      <c r="K49" s="13" t="s">
        <v>143</v>
      </c>
      <c r="L49" s="13"/>
      <c r="M49" s="13"/>
      <c r="N49" s="20" t="str">
        <f>HYPERLINK("http://slimages.macys.com/is/image/MCY/19762497 ")</f>
        <v xml:space="preserve">http://slimages.macys.com/is/image/MCY/19762497 </v>
      </c>
    </row>
    <row r="50" spans="1:14" x14ac:dyDescent="0.25">
      <c r="A50" s="19" t="s">
        <v>1671</v>
      </c>
      <c r="B50" s="13" t="s">
        <v>1892</v>
      </c>
      <c r="C50" s="8">
        <v>1</v>
      </c>
      <c r="D50" s="9">
        <v>25</v>
      </c>
      <c r="E50" s="9">
        <v>25</v>
      </c>
      <c r="F50" s="8" t="s">
        <v>1672</v>
      </c>
      <c r="G50" s="13" t="s">
        <v>86</v>
      </c>
      <c r="H50" s="19" t="s">
        <v>55</v>
      </c>
      <c r="I50" s="13" t="s">
        <v>11</v>
      </c>
      <c r="J50" s="13" t="s">
        <v>142</v>
      </c>
      <c r="K50" s="13" t="s">
        <v>143</v>
      </c>
      <c r="L50" s="13"/>
      <c r="M50" s="13"/>
      <c r="N50" s="20" t="str">
        <f>HYPERLINK("http://slimages.macys.com/is/image/MCY/19762497 ")</f>
        <v xml:space="preserve">http://slimages.macys.com/is/image/MCY/19762497 </v>
      </c>
    </row>
    <row r="51" spans="1:14" x14ac:dyDescent="0.25">
      <c r="A51" s="19" t="s">
        <v>1873</v>
      </c>
      <c r="B51" s="13" t="s">
        <v>1874</v>
      </c>
      <c r="C51" s="8">
        <v>1</v>
      </c>
      <c r="D51" s="9">
        <v>64</v>
      </c>
      <c r="E51" s="9">
        <v>64</v>
      </c>
      <c r="F51" s="8" t="s">
        <v>1875</v>
      </c>
      <c r="G51" s="13" t="s">
        <v>205</v>
      </c>
      <c r="H51" s="19" t="s">
        <v>32</v>
      </c>
      <c r="I51" s="13" t="s">
        <v>11</v>
      </c>
      <c r="J51" s="13" t="s">
        <v>142</v>
      </c>
      <c r="K51" s="13" t="s">
        <v>143</v>
      </c>
      <c r="L51" s="13"/>
      <c r="M51" s="13"/>
      <c r="N51" s="20" t="str">
        <f>HYPERLINK("http://slimages.macys.com/is/image/MCY/20657978 ")</f>
        <v xml:space="preserve">http://slimages.macys.com/is/image/MCY/20657978 </v>
      </c>
    </row>
    <row r="52" spans="1:14" x14ac:dyDescent="0.25">
      <c r="A52" s="19" t="s">
        <v>1667</v>
      </c>
      <c r="B52" s="13" t="s">
        <v>1879</v>
      </c>
      <c r="C52" s="8">
        <v>1</v>
      </c>
      <c r="D52" s="9">
        <v>46</v>
      </c>
      <c r="E52" s="9">
        <v>46</v>
      </c>
      <c r="F52" s="8" t="s">
        <v>1666</v>
      </c>
      <c r="G52" s="13" t="s">
        <v>57</v>
      </c>
      <c r="H52" s="19" t="s">
        <v>55</v>
      </c>
      <c r="I52" s="13" t="s">
        <v>11</v>
      </c>
      <c r="J52" s="13" t="s">
        <v>142</v>
      </c>
      <c r="K52" s="13" t="s">
        <v>143</v>
      </c>
      <c r="L52" s="13"/>
      <c r="M52" s="13"/>
      <c r="N52" s="20" t="str">
        <f>HYPERLINK("http://slimages.macys.com/is/image/MCY/20119056 ")</f>
        <v xml:space="preserve">http://slimages.macys.com/is/image/MCY/20119056 </v>
      </c>
    </row>
    <row r="53" spans="1:14" x14ac:dyDescent="0.25">
      <c r="A53" s="19" t="s">
        <v>1871</v>
      </c>
      <c r="B53" s="13" t="s">
        <v>1872</v>
      </c>
      <c r="C53" s="8">
        <v>1</v>
      </c>
      <c r="D53" s="9">
        <v>68</v>
      </c>
      <c r="E53" s="9">
        <v>68</v>
      </c>
      <c r="F53" s="8" t="s">
        <v>141</v>
      </c>
      <c r="G53" s="13" t="s">
        <v>57</v>
      </c>
      <c r="H53" s="19" t="s">
        <v>47</v>
      </c>
      <c r="I53" s="13" t="s">
        <v>11</v>
      </c>
      <c r="J53" s="13" t="s">
        <v>142</v>
      </c>
      <c r="K53" s="13" t="s">
        <v>143</v>
      </c>
      <c r="L53" s="13"/>
      <c r="M53" s="13"/>
      <c r="N53" s="20" t="str">
        <f>HYPERLINK("http://slimages.macys.com/is/image/MCY/20119140 ")</f>
        <v xml:space="preserve">http://slimages.macys.com/is/image/MCY/20119140 </v>
      </c>
    </row>
    <row r="54" spans="1:14" x14ac:dyDescent="0.25">
      <c r="A54" s="19" t="s">
        <v>1885</v>
      </c>
      <c r="B54" s="13" t="s">
        <v>1886</v>
      </c>
      <c r="C54" s="8">
        <v>1</v>
      </c>
      <c r="D54" s="9">
        <v>36</v>
      </c>
      <c r="E54" s="9">
        <v>36</v>
      </c>
      <c r="F54" s="8" t="s">
        <v>1887</v>
      </c>
      <c r="G54" s="13" t="s">
        <v>104</v>
      </c>
      <c r="H54" s="19" t="s">
        <v>55</v>
      </c>
      <c r="I54" s="13" t="s">
        <v>11</v>
      </c>
      <c r="J54" s="13" t="s">
        <v>142</v>
      </c>
      <c r="K54" s="13" t="s">
        <v>143</v>
      </c>
      <c r="L54" s="13"/>
      <c r="M54" s="13"/>
      <c r="N54" s="20" t="str">
        <f>HYPERLINK("http://slimages.macys.com/is/image/MCY/19962626 ")</f>
        <v xml:space="preserve">http://slimages.macys.com/is/image/MCY/19962626 </v>
      </c>
    </row>
    <row r="55" spans="1:14" x14ac:dyDescent="0.25">
      <c r="A55" s="19" t="s">
        <v>1883</v>
      </c>
      <c r="B55" s="13" t="s">
        <v>1884</v>
      </c>
      <c r="C55" s="8">
        <v>1</v>
      </c>
      <c r="D55" s="9">
        <v>40</v>
      </c>
      <c r="E55" s="9">
        <v>40</v>
      </c>
      <c r="F55" s="8" t="s">
        <v>1169</v>
      </c>
      <c r="G55" s="13" t="s">
        <v>31</v>
      </c>
      <c r="H55" s="19" t="s">
        <v>40</v>
      </c>
      <c r="I55" s="13" t="s">
        <v>11</v>
      </c>
      <c r="J55" s="13" t="s">
        <v>142</v>
      </c>
      <c r="K55" s="13" t="s">
        <v>143</v>
      </c>
      <c r="L55" s="13" t="s">
        <v>154</v>
      </c>
      <c r="M55" s="13" t="s">
        <v>1882</v>
      </c>
      <c r="N55" s="20" t="str">
        <f>HYPERLINK("http://images.bloomingdales.com/is/image/BLM/11725411 ")</f>
        <v xml:space="preserve">http://images.bloomingdales.com/is/image/BLM/11725411 </v>
      </c>
    </row>
    <row r="56" spans="1:14" x14ac:dyDescent="0.25">
      <c r="A56" s="19" t="s">
        <v>1880</v>
      </c>
      <c r="B56" s="13" t="s">
        <v>1881</v>
      </c>
      <c r="C56" s="8">
        <v>1</v>
      </c>
      <c r="D56" s="9">
        <v>40</v>
      </c>
      <c r="E56" s="9">
        <v>40</v>
      </c>
      <c r="F56" s="8" t="s">
        <v>1169</v>
      </c>
      <c r="G56" s="13" t="s">
        <v>31</v>
      </c>
      <c r="H56" s="19" t="s">
        <v>55</v>
      </c>
      <c r="I56" s="13" t="s">
        <v>11</v>
      </c>
      <c r="J56" s="13" t="s">
        <v>142</v>
      </c>
      <c r="K56" s="13" t="s">
        <v>143</v>
      </c>
      <c r="L56" s="13" t="s">
        <v>154</v>
      </c>
      <c r="M56" s="13" t="s">
        <v>1882</v>
      </c>
      <c r="N56" s="20" t="str">
        <f>HYPERLINK("http://images.bloomingdales.com/is/image/BLM/11725411 ")</f>
        <v xml:space="preserve">http://images.bloomingdales.com/is/image/BLM/11725411 </v>
      </c>
    </row>
    <row r="57" spans="1:14" x14ac:dyDescent="0.25">
      <c r="A57" s="19" t="s">
        <v>159</v>
      </c>
      <c r="B57" s="13" t="s">
        <v>160</v>
      </c>
      <c r="C57" s="8">
        <v>1</v>
      </c>
      <c r="D57" s="9">
        <v>42</v>
      </c>
      <c r="E57" s="9">
        <v>42</v>
      </c>
      <c r="F57" s="8" t="s">
        <v>153</v>
      </c>
      <c r="G57" s="13" t="s">
        <v>62</v>
      </c>
      <c r="H57" s="19" t="s">
        <v>40</v>
      </c>
      <c r="I57" s="13" t="s">
        <v>11</v>
      </c>
      <c r="J57" s="13" t="s">
        <v>142</v>
      </c>
      <c r="K57" s="13" t="s">
        <v>143</v>
      </c>
      <c r="L57" s="13"/>
      <c r="M57" s="13"/>
      <c r="N57" s="20" t="str">
        <f>HYPERLINK("http://slimages.macys.com/is/image/MCY/19762539 ")</f>
        <v xml:space="preserve">http://slimages.macys.com/is/image/MCY/19762539 </v>
      </c>
    </row>
    <row r="58" spans="1:14" x14ac:dyDescent="0.25">
      <c r="A58" s="19" t="s">
        <v>1868</v>
      </c>
      <c r="B58" s="13" t="s">
        <v>1869</v>
      </c>
      <c r="C58" s="8">
        <v>3</v>
      </c>
      <c r="D58" s="9">
        <v>78</v>
      </c>
      <c r="E58" s="9">
        <v>234</v>
      </c>
      <c r="F58" s="8" t="s">
        <v>1870</v>
      </c>
      <c r="G58" s="13" t="s">
        <v>31</v>
      </c>
      <c r="H58" s="19"/>
      <c r="I58" s="13" t="s">
        <v>11</v>
      </c>
      <c r="J58" s="13" t="s">
        <v>142</v>
      </c>
      <c r="K58" s="13" t="s">
        <v>143</v>
      </c>
      <c r="L58" s="13"/>
      <c r="M58" s="13"/>
      <c r="N58" s="20" t="str">
        <f>HYPERLINK("http://slimages.macys.com/is/image/MCY/21001087 ")</f>
        <v xml:space="preserve">http://slimages.macys.com/is/image/MCY/21001087 </v>
      </c>
    </row>
    <row r="59" spans="1:14" x14ac:dyDescent="0.25">
      <c r="A59" s="19" t="s">
        <v>706</v>
      </c>
      <c r="B59" s="13" t="s">
        <v>707</v>
      </c>
      <c r="C59" s="8">
        <v>1</v>
      </c>
      <c r="D59" s="9">
        <v>28</v>
      </c>
      <c r="E59" s="9">
        <v>28</v>
      </c>
      <c r="F59" s="8" t="s">
        <v>694</v>
      </c>
      <c r="G59" s="13" t="s">
        <v>31</v>
      </c>
      <c r="H59" s="19" t="s">
        <v>55</v>
      </c>
      <c r="I59" s="13" t="s">
        <v>11</v>
      </c>
      <c r="J59" s="13" t="s">
        <v>142</v>
      </c>
      <c r="K59" s="13" t="s">
        <v>143</v>
      </c>
      <c r="L59" s="13"/>
      <c r="M59" s="13"/>
      <c r="N59" s="20" t="str">
        <f>HYPERLINK("http://slimages.macys.com/is/image/MCY/20780693 ")</f>
        <v xml:space="preserve">http://slimages.macys.com/is/image/MCY/20780693 </v>
      </c>
    </row>
    <row r="60" spans="1:14" x14ac:dyDescent="0.25">
      <c r="A60" s="19" t="s">
        <v>1893</v>
      </c>
      <c r="B60" s="13" t="s">
        <v>1894</v>
      </c>
      <c r="C60" s="8">
        <v>1</v>
      </c>
      <c r="D60" s="9">
        <v>20</v>
      </c>
      <c r="E60" s="9">
        <v>20</v>
      </c>
      <c r="F60" s="8" t="s">
        <v>711</v>
      </c>
      <c r="G60" s="13" t="s">
        <v>78</v>
      </c>
      <c r="H60" s="19" t="s">
        <v>55</v>
      </c>
      <c r="I60" s="13" t="s">
        <v>11</v>
      </c>
      <c r="J60" s="13" t="s">
        <v>142</v>
      </c>
      <c r="K60" s="13" t="s">
        <v>143</v>
      </c>
      <c r="L60" s="13"/>
      <c r="M60" s="13"/>
      <c r="N60" s="20" t="str">
        <f>HYPERLINK("http://slimages.macys.com/is/image/MCY/20184843 ")</f>
        <v xml:space="preserve">http://slimages.macys.com/is/image/MCY/20184843 </v>
      </c>
    </row>
    <row r="61" spans="1:14" x14ac:dyDescent="0.25">
      <c r="A61" s="19" t="s">
        <v>947</v>
      </c>
      <c r="B61" s="13" t="s">
        <v>948</v>
      </c>
      <c r="C61" s="8">
        <v>1</v>
      </c>
      <c r="D61" s="9">
        <v>22.99</v>
      </c>
      <c r="E61" s="9">
        <v>22.99</v>
      </c>
      <c r="F61" s="8" t="s">
        <v>134</v>
      </c>
      <c r="G61" s="13" t="s">
        <v>135</v>
      </c>
      <c r="H61" s="19" t="s">
        <v>40</v>
      </c>
      <c r="I61" s="13" t="s">
        <v>11</v>
      </c>
      <c r="J61" s="13" t="s">
        <v>130</v>
      </c>
      <c r="K61" s="13" t="s">
        <v>131</v>
      </c>
      <c r="L61" s="13"/>
      <c r="M61" s="13"/>
      <c r="N61" s="20" t="str">
        <f>HYPERLINK("http://slimages.macys.com/is/image/MCY/19660777 ")</f>
        <v xml:space="preserve">http://slimages.macys.com/is/image/MCY/19660777 </v>
      </c>
    </row>
    <row r="62" spans="1:14" x14ac:dyDescent="0.25">
      <c r="A62" s="19" t="s">
        <v>622</v>
      </c>
      <c r="B62" s="13" t="s">
        <v>623</v>
      </c>
      <c r="C62" s="8">
        <v>3</v>
      </c>
      <c r="D62" s="9">
        <v>22.99</v>
      </c>
      <c r="E62" s="9">
        <v>68.97</v>
      </c>
      <c r="F62" s="8" t="s">
        <v>134</v>
      </c>
      <c r="G62" s="13" t="s">
        <v>76</v>
      </c>
      <c r="H62" s="19" t="s">
        <v>27</v>
      </c>
      <c r="I62" s="13" t="s">
        <v>11</v>
      </c>
      <c r="J62" s="13" t="s">
        <v>130</v>
      </c>
      <c r="K62" s="13" t="s">
        <v>131</v>
      </c>
      <c r="L62" s="13"/>
      <c r="M62" s="13"/>
      <c r="N62" s="20" t="str">
        <f>HYPERLINK("http://slimages.macys.com/is/image/MCY/20352544 ")</f>
        <v xml:space="preserve">http://slimages.macys.com/is/image/MCY/20352544 </v>
      </c>
    </row>
    <row r="63" spans="1:14" x14ac:dyDescent="0.25">
      <c r="A63" s="19" t="s">
        <v>638</v>
      </c>
      <c r="B63" s="13" t="s">
        <v>639</v>
      </c>
      <c r="C63" s="8">
        <v>1</v>
      </c>
      <c r="D63" s="9">
        <v>22.99</v>
      </c>
      <c r="E63" s="9">
        <v>22.99</v>
      </c>
      <c r="F63" s="8" t="s">
        <v>134</v>
      </c>
      <c r="G63" s="13" t="s">
        <v>82</v>
      </c>
      <c r="H63" s="19" t="s">
        <v>87</v>
      </c>
      <c r="I63" s="13" t="s">
        <v>11</v>
      </c>
      <c r="J63" s="13" t="s">
        <v>130</v>
      </c>
      <c r="K63" s="13" t="s">
        <v>131</v>
      </c>
      <c r="L63" s="13"/>
      <c r="M63" s="13"/>
      <c r="N63" s="20" t="str">
        <f>HYPERLINK("http://slimages.macys.com/is/image/MCY/537338 ")</f>
        <v xml:space="preserve">http://slimages.macys.com/is/image/MCY/537338 </v>
      </c>
    </row>
    <row r="64" spans="1:14" x14ac:dyDescent="0.25">
      <c r="A64" s="19" t="s">
        <v>657</v>
      </c>
      <c r="B64" s="13" t="s">
        <v>658</v>
      </c>
      <c r="C64" s="8">
        <v>2</v>
      </c>
      <c r="D64" s="9">
        <v>22.99</v>
      </c>
      <c r="E64" s="9">
        <v>45.98</v>
      </c>
      <c r="F64" s="8" t="s">
        <v>134</v>
      </c>
      <c r="G64" s="13" t="s">
        <v>202</v>
      </c>
      <c r="H64" s="19" t="s">
        <v>40</v>
      </c>
      <c r="I64" s="13" t="s">
        <v>11</v>
      </c>
      <c r="J64" s="13" t="s">
        <v>130</v>
      </c>
      <c r="K64" s="13" t="s">
        <v>131</v>
      </c>
      <c r="L64" s="13"/>
      <c r="M64" s="13"/>
      <c r="N64" s="20" t="str">
        <f>HYPERLINK("http://slimages.macys.com/is/image/MCY/20352544 ")</f>
        <v xml:space="preserve">http://slimages.macys.com/is/image/MCY/20352544 </v>
      </c>
    </row>
    <row r="65" spans="1:14" x14ac:dyDescent="0.25">
      <c r="A65" s="19" t="s">
        <v>634</v>
      </c>
      <c r="B65" s="13" t="s">
        <v>635</v>
      </c>
      <c r="C65" s="8">
        <v>1</v>
      </c>
      <c r="D65" s="9">
        <v>26.11</v>
      </c>
      <c r="E65" s="9">
        <v>26.11</v>
      </c>
      <c r="F65" s="8" t="s">
        <v>134</v>
      </c>
      <c r="G65" s="13" t="s">
        <v>202</v>
      </c>
      <c r="H65" s="19" t="s">
        <v>27</v>
      </c>
      <c r="I65" s="13" t="s">
        <v>11</v>
      </c>
      <c r="J65" s="13" t="s">
        <v>130</v>
      </c>
      <c r="K65" s="13" t="s">
        <v>131</v>
      </c>
      <c r="L65" s="13"/>
      <c r="M65" s="13"/>
      <c r="N65" s="20" t="str">
        <f>HYPERLINK("http://slimages.macys.com/is/image/MCY/20352544 ")</f>
        <v xml:space="preserve">http://slimages.macys.com/is/image/MCY/20352544 </v>
      </c>
    </row>
    <row r="66" spans="1:14" x14ac:dyDescent="0.25">
      <c r="A66" s="19" t="s">
        <v>636</v>
      </c>
      <c r="B66" s="13" t="s">
        <v>637</v>
      </c>
      <c r="C66" s="8">
        <v>1</v>
      </c>
      <c r="D66" s="9">
        <v>22.99</v>
      </c>
      <c r="E66" s="9">
        <v>22.99</v>
      </c>
      <c r="F66" s="8" t="s">
        <v>134</v>
      </c>
      <c r="G66" s="13" t="s">
        <v>202</v>
      </c>
      <c r="H66" s="19" t="s">
        <v>87</v>
      </c>
      <c r="I66" s="13" t="s">
        <v>11</v>
      </c>
      <c r="J66" s="13" t="s">
        <v>130</v>
      </c>
      <c r="K66" s="13" t="s">
        <v>131</v>
      </c>
      <c r="L66" s="13"/>
      <c r="M66" s="13"/>
      <c r="N66" s="20" t="str">
        <f>HYPERLINK("http://slimages.macys.com/is/image/MCY/20352544 ")</f>
        <v xml:space="preserve">http://slimages.macys.com/is/image/MCY/20352544 </v>
      </c>
    </row>
    <row r="67" spans="1:14" x14ac:dyDescent="0.25">
      <c r="A67" s="19" t="s">
        <v>1942</v>
      </c>
      <c r="B67" s="13" t="s">
        <v>1943</v>
      </c>
      <c r="C67" s="8">
        <v>1</v>
      </c>
      <c r="D67" s="9">
        <v>74</v>
      </c>
      <c r="E67" s="9">
        <v>74</v>
      </c>
      <c r="F67" s="8" t="s">
        <v>1026</v>
      </c>
      <c r="G67" s="13" t="s">
        <v>102</v>
      </c>
      <c r="H67" s="19" t="s">
        <v>231</v>
      </c>
      <c r="I67" s="13" t="s">
        <v>11</v>
      </c>
      <c r="J67" s="13" t="s">
        <v>343</v>
      </c>
      <c r="K67" s="13" t="s">
        <v>344</v>
      </c>
      <c r="L67" s="13"/>
      <c r="M67" s="13"/>
      <c r="N67" s="20" t="str">
        <f>HYPERLINK("http://slimages.macys.com/is/image/MCY/19623216 ")</f>
        <v xml:space="preserve">http://slimages.macys.com/is/image/MCY/19623216 </v>
      </c>
    </row>
    <row r="68" spans="1:14" x14ac:dyDescent="0.25">
      <c r="A68" s="19" t="s">
        <v>1947</v>
      </c>
      <c r="B68" s="13" t="s">
        <v>1948</v>
      </c>
      <c r="C68" s="8">
        <v>1</v>
      </c>
      <c r="D68" s="9">
        <v>69</v>
      </c>
      <c r="E68" s="9">
        <v>69</v>
      </c>
      <c r="F68" s="8" t="s">
        <v>1946</v>
      </c>
      <c r="G68" s="13" t="s">
        <v>62</v>
      </c>
      <c r="H68" s="19" t="s">
        <v>227</v>
      </c>
      <c r="I68" s="13" t="s">
        <v>11</v>
      </c>
      <c r="J68" s="13" t="s">
        <v>343</v>
      </c>
      <c r="K68" s="13" t="s">
        <v>344</v>
      </c>
      <c r="L68" s="13" t="s">
        <v>111</v>
      </c>
      <c r="M68" s="13" t="s">
        <v>1949</v>
      </c>
      <c r="N68" s="20" t="str">
        <f>HYPERLINK("http://slimages.macys.com/is/image/MCY/19585610 ")</f>
        <v xml:space="preserve">http://slimages.macys.com/is/image/MCY/19585610 </v>
      </c>
    </row>
    <row r="69" spans="1:14" x14ac:dyDescent="0.25">
      <c r="A69" s="19" t="s">
        <v>1944</v>
      </c>
      <c r="B69" s="13" t="s">
        <v>1945</v>
      </c>
      <c r="C69" s="8">
        <v>1</v>
      </c>
      <c r="D69" s="9">
        <v>69</v>
      </c>
      <c r="E69" s="9">
        <v>69</v>
      </c>
      <c r="F69" s="8" t="s">
        <v>1946</v>
      </c>
      <c r="G69" s="13" t="s">
        <v>125</v>
      </c>
      <c r="H69" s="19" t="s">
        <v>228</v>
      </c>
      <c r="I69" s="13" t="s">
        <v>11</v>
      </c>
      <c r="J69" s="13" t="s">
        <v>343</v>
      </c>
      <c r="K69" s="13" t="s">
        <v>344</v>
      </c>
      <c r="L69" s="13"/>
      <c r="M69" s="13"/>
      <c r="N69" s="20" t="str">
        <f>HYPERLINK("http://slimages.macys.com/is/image/MCY/19585607 ")</f>
        <v xml:space="preserve">http://slimages.macys.com/is/image/MCY/19585607 </v>
      </c>
    </row>
    <row r="70" spans="1:14" x14ac:dyDescent="0.25">
      <c r="A70" s="19" t="s">
        <v>1940</v>
      </c>
      <c r="B70" s="13" t="s">
        <v>1941</v>
      </c>
      <c r="C70" s="8">
        <v>1</v>
      </c>
      <c r="D70" s="9">
        <v>74</v>
      </c>
      <c r="E70" s="9">
        <v>74</v>
      </c>
      <c r="F70" s="8" t="s">
        <v>1939</v>
      </c>
      <c r="G70" s="13" t="s">
        <v>31</v>
      </c>
      <c r="H70" s="19" t="s">
        <v>32</v>
      </c>
      <c r="I70" s="13" t="s">
        <v>11</v>
      </c>
      <c r="J70" s="13" t="s">
        <v>343</v>
      </c>
      <c r="K70" s="13" t="s">
        <v>344</v>
      </c>
      <c r="L70" s="13"/>
      <c r="M70" s="13"/>
      <c r="N70" s="20" t="str">
        <f>HYPERLINK("http://slimages.macys.com/is/image/MCY/19623197 ")</f>
        <v xml:space="preserve">http://slimages.macys.com/is/image/MCY/19623197 </v>
      </c>
    </row>
    <row r="71" spans="1:14" x14ac:dyDescent="0.25">
      <c r="A71" s="19" t="s">
        <v>1937</v>
      </c>
      <c r="B71" s="13" t="s">
        <v>1938</v>
      </c>
      <c r="C71" s="8">
        <v>6</v>
      </c>
      <c r="D71" s="9">
        <v>74</v>
      </c>
      <c r="E71" s="9">
        <v>444</v>
      </c>
      <c r="F71" s="8" t="s">
        <v>1939</v>
      </c>
      <c r="G71" s="13" t="s">
        <v>31</v>
      </c>
      <c r="H71" s="19" t="s">
        <v>227</v>
      </c>
      <c r="I71" s="13" t="s">
        <v>11</v>
      </c>
      <c r="J71" s="13" t="s">
        <v>343</v>
      </c>
      <c r="K71" s="13" t="s">
        <v>344</v>
      </c>
      <c r="L71" s="13"/>
      <c r="M71" s="13"/>
      <c r="N71" s="20" t="str">
        <f>HYPERLINK("http://slimages.macys.com/is/image/MCY/19623197 ")</f>
        <v xml:space="preserve">http://slimages.macys.com/is/image/MCY/19623197 </v>
      </c>
    </row>
    <row r="72" spans="1:14" x14ac:dyDescent="0.25">
      <c r="A72" s="19" t="s">
        <v>1977</v>
      </c>
      <c r="B72" s="13" t="s">
        <v>1978</v>
      </c>
      <c r="C72" s="8">
        <v>1</v>
      </c>
      <c r="D72" s="9">
        <v>28.99</v>
      </c>
      <c r="E72" s="9">
        <v>28.99</v>
      </c>
      <c r="F72" s="8" t="s">
        <v>1279</v>
      </c>
      <c r="G72" s="13" t="s">
        <v>135</v>
      </c>
      <c r="H72" s="19" t="s">
        <v>40</v>
      </c>
      <c r="I72" s="13" t="s">
        <v>11</v>
      </c>
      <c r="J72" s="13" t="s">
        <v>343</v>
      </c>
      <c r="K72" s="13" t="s">
        <v>372</v>
      </c>
      <c r="L72" s="13"/>
      <c r="M72" s="13"/>
      <c r="N72" s="20" t="str">
        <f>HYPERLINK("http://slimages.macys.com/is/image/MCY/19907141 ")</f>
        <v xml:space="preserve">http://slimages.macys.com/is/image/MCY/19907141 </v>
      </c>
    </row>
    <row r="73" spans="1:14" x14ac:dyDescent="0.25">
      <c r="A73" s="19" t="s">
        <v>1800</v>
      </c>
      <c r="B73" s="13" t="s">
        <v>1801</v>
      </c>
      <c r="C73" s="8">
        <v>1</v>
      </c>
      <c r="D73" s="9">
        <v>42.99</v>
      </c>
      <c r="E73" s="9">
        <v>42.99</v>
      </c>
      <c r="F73" s="8" t="s">
        <v>730</v>
      </c>
      <c r="G73" s="13" t="s">
        <v>189</v>
      </c>
      <c r="H73" s="19" t="s">
        <v>87</v>
      </c>
      <c r="I73" s="13" t="s">
        <v>11</v>
      </c>
      <c r="J73" s="13" t="s">
        <v>263</v>
      </c>
      <c r="K73" s="13" t="s">
        <v>264</v>
      </c>
      <c r="L73" s="13"/>
      <c r="M73" s="13"/>
      <c r="N73" s="20" t="str">
        <f>HYPERLINK("http://slimages.macys.com/is/image/MCY/19713015 ")</f>
        <v xml:space="preserve">http://slimages.macys.com/is/image/MCY/19713015 </v>
      </c>
    </row>
    <row r="74" spans="1:14" x14ac:dyDescent="0.25">
      <c r="A74" s="19" t="s">
        <v>1359</v>
      </c>
      <c r="B74" s="13" t="s">
        <v>1360</v>
      </c>
      <c r="C74" s="8">
        <v>1</v>
      </c>
      <c r="D74" s="9">
        <v>40</v>
      </c>
      <c r="E74" s="9">
        <v>40</v>
      </c>
      <c r="F74" s="8">
        <v>100082360</v>
      </c>
      <c r="G74" s="13" t="s">
        <v>82</v>
      </c>
      <c r="H74" s="19" t="s">
        <v>40</v>
      </c>
      <c r="I74" s="13" t="s">
        <v>11</v>
      </c>
      <c r="J74" s="13" t="s">
        <v>427</v>
      </c>
      <c r="K74" s="13" t="s">
        <v>428</v>
      </c>
      <c r="L74" s="13"/>
      <c r="M74" s="13"/>
      <c r="N74" s="20" t="str">
        <f>HYPERLINK("http://slimages.macys.com/is/image/MCY/16795242 ")</f>
        <v xml:space="preserve">http://slimages.macys.com/is/image/MCY/16795242 </v>
      </c>
    </row>
    <row r="75" spans="1:14" x14ac:dyDescent="0.25">
      <c r="A75" s="19" t="s">
        <v>1353</v>
      </c>
      <c r="B75" s="13" t="s">
        <v>1354</v>
      </c>
      <c r="C75" s="8">
        <v>1</v>
      </c>
      <c r="D75" s="9">
        <v>40</v>
      </c>
      <c r="E75" s="9">
        <v>40</v>
      </c>
      <c r="F75" s="8">
        <v>100077742</v>
      </c>
      <c r="G75" s="13" t="s">
        <v>104</v>
      </c>
      <c r="H75" s="19" t="s">
        <v>55</v>
      </c>
      <c r="I75" s="13" t="s">
        <v>11</v>
      </c>
      <c r="J75" s="13" t="s">
        <v>427</v>
      </c>
      <c r="K75" s="13" t="s">
        <v>428</v>
      </c>
      <c r="L75" s="13"/>
      <c r="M75" s="13"/>
      <c r="N75" s="20" t="str">
        <f>HYPERLINK("http://slimages.macys.com/is/image/MCY/17534305 ")</f>
        <v xml:space="preserve">http://slimages.macys.com/is/image/MCY/17534305 </v>
      </c>
    </row>
    <row r="76" spans="1:14" x14ac:dyDescent="0.25">
      <c r="A76" s="19" t="s">
        <v>1351</v>
      </c>
      <c r="B76" s="13" t="s">
        <v>1352</v>
      </c>
      <c r="C76" s="8">
        <v>1</v>
      </c>
      <c r="D76" s="9">
        <v>40</v>
      </c>
      <c r="E76" s="9">
        <v>40</v>
      </c>
      <c r="F76" s="8">
        <v>100131764</v>
      </c>
      <c r="G76" s="13" t="s">
        <v>76</v>
      </c>
      <c r="H76" s="19" t="s">
        <v>32</v>
      </c>
      <c r="I76" s="13" t="s">
        <v>11</v>
      </c>
      <c r="J76" s="13" t="s">
        <v>427</v>
      </c>
      <c r="K76" s="13" t="s">
        <v>428</v>
      </c>
      <c r="L76" s="13"/>
      <c r="M76" s="13"/>
      <c r="N76" s="20" t="str">
        <f>HYPERLINK("http://slimages.macys.com/is/image/MCY/19817424 ")</f>
        <v xml:space="preserve">http://slimages.macys.com/is/image/MCY/19817424 </v>
      </c>
    </row>
    <row r="77" spans="1:14" x14ac:dyDescent="0.25">
      <c r="A77" s="19" t="s">
        <v>2041</v>
      </c>
      <c r="B77" s="13" t="s">
        <v>2042</v>
      </c>
      <c r="C77" s="8">
        <v>1</v>
      </c>
      <c r="D77" s="9">
        <v>40</v>
      </c>
      <c r="E77" s="9">
        <v>40</v>
      </c>
      <c r="F77" s="8">
        <v>100131764</v>
      </c>
      <c r="G77" s="13" t="s">
        <v>76</v>
      </c>
      <c r="H77" s="19" t="s">
        <v>40</v>
      </c>
      <c r="I77" s="13" t="s">
        <v>11</v>
      </c>
      <c r="J77" s="13" t="s">
        <v>427</v>
      </c>
      <c r="K77" s="13" t="s">
        <v>428</v>
      </c>
      <c r="L77" s="13"/>
      <c r="M77" s="13"/>
      <c r="N77" s="20" t="str">
        <f>HYPERLINK("http://slimages.macys.com/is/image/MCY/19817424 ")</f>
        <v xml:space="preserve">http://slimages.macys.com/is/image/MCY/19817424 </v>
      </c>
    </row>
    <row r="78" spans="1:14" x14ac:dyDescent="0.25">
      <c r="A78" s="19" t="s">
        <v>779</v>
      </c>
      <c r="B78" s="13" t="s">
        <v>780</v>
      </c>
      <c r="C78" s="8">
        <v>1</v>
      </c>
      <c r="D78" s="9">
        <v>40</v>
      </c>
      <c r="E78" s="9">
        <v>40</v>
      </c>
      <c r="F78" s="8">
        <v>100131764</v>
      </c>
      <c r="G78" s="13" t="s">
        <v>76</v>
      </c>
      <c r="H78" s="19" t="s">
        <v>55</v>
      </c>
      <c r="I78" s="13" t="s">
        <v>11</v>
      </c>
      <c r="J78" s="13" t="s">
        <v>427</v>
      </c>
      <c r="K78" s="13" t="s">
        <v>428</v>
      </c>
      <c r="L78" s="13"/>
      <c r="M78" s="13"/>
      <c r="N78" s="20" t="str">
        <f>HYPERLINK("http://slimages.macys.com/is/image/MCY/19817424 ")</f>
        <v xml:space="preserve">http://slimages.macys.com/is/image/MCY/19817424 </v>
      </c>
    </row>
    <row r="79" spans="1:14" x14ac:dyDescent="0.25">
      <c r="A79" s="19" t="s">
        <v>783</v>
      </c>
      <c r="B79" s="13" t="s">
        <v>784</v>
      </c>
      <c r="C79" s="8">
        <v>1</v>
      </c>
      <c r="D79" s="9">
        <v>40</v>
      </c>
      <c r="E79" s="9">
        <v>40</v>
      </c>
      <c r="F79" s="8">
        <v>100131763</v>
      </c>
      <c r="G79" s="13" t="s">
        <v>31</v>
      </c>
      <c r="H79" s="19" t="s">
        <v>40</v>
      </c>
      <c r="I79" s="13" t="s">
        <v>11</v>
      </c>
      <c r="J79" s="13" t="s">
        <v>427</v>
      </c>
      <c r="K79" s="13" t="s">
        <v>428</v>
      </c>
      <c r="L79" s="13"/>
      <c r="M79" s="13"/>
      <c r="N79" s="20" t="str">
        <f>HYPERLINK("http://slimages.macys.com/is/image/MCY/19413022 ")</f>
        <v xml:space="preserve">http://slimages.macys.com/is/image/MCY/19413022 </v>
      </c>
    </row>
    <row r="80" spans="1:14" x14ac:dyDescent="0.25">
      <c r="A80" s="19" t="s">
        <v>1986</v>
      </c>
      <c r="B80" s="13" t="s">
        <v>1987</v>
      </c>
      <c r="C80" s="8">
        <v>17</v>
      </c>
      <c r="D80" s="9">
        <v>25</v>
      </c>
      <c r="E80" s="9">
        <v>425</v>
      </c>
      <c r="F80" s="8" t="s">
        <v>1293</v>
      </c>
      <c r="G80" s="13" t="s">
        <v>83</v>
      </c>
      <c r="H80" s="19" t="s">
        <v>32</v>
      </c>
      <c r="I80" s="13" t="s">
        <v>11</v>
      </c>
      <c r="J80" s="13" t="s">
        <v>343</v>
      </c>
      <c r="K80" s="13" t="s">
        <v>379</v>
      </c>
      <c r="L80" s="13"/>
      <c r="M80" s="13"/>
      <c r="N80" s="20" t="str">
        <f>HYPERLINK("http://slimages.macys.com/is/image/MCY/20590151 ")</f>
        <v xml:space="preserve">http://slimages.macys.com/is/image/MCY/20590151 </v>
      </c>
    </row>
    <row r="81" spans="1:14" x14ac:dyDescent="0.25">
      <c r="A81" s="19" t="s">
        <v>1995</v>
      </c>
      <c r="B81" s="13" t="s">
        <v>1996</v>
      </c>
      <c r="C81" s="8">
        <v>18</v>
      </c>
      <c r="D81" s="9">
        <v>25</v>
      </c>
      <c r="E81" s="9">
        <v>450</v>
      </c>
      <c r="F81" s="8" t="s">
        <v>1293</v>
      </c>
      <c r="G81" s="13" t="s">
        <v>83</v>
      </c>
      <c r="H81" s="19" t="s">
        <v>40</v>
      </c>
      <c r="I81" s="13" t="s">
        <v>11</v>
      </c>
      <c r="J81" s="13" t="s">
        <v>343</v>
      </c>
      <c r="K81" s="13" t="s">
        <v>379</v>
      </c>
      <c r="L81" s="13"/>
      <c r="M81" s="13"/>
      <c r="N81" s="20" t="str">
        <f>HYPERLINK("http://slimages.macys.com/is/image/MCY/20590151 ")</f>
        <v xml:space="preserve">http://slimages.macys.com/is/image/MCY/20590151 </v>
      </c>
    </row>
    <row r="82" spans="1:14" x14ac:dyDescent="0.25">
      <c r="A82" s="19" t="s">
        <v>2017</v>
      </c>
      <c r="B82" s="13" t="s">
        <v>2018</v>
      </c>
      <c r="C82" s="8">
        <v>11</v>
      </c>
      <c r="D82" s="9">
        <v>25</v>
      </c>
      <c r="E82" s="9">
        <v>275</v>
      </c>
      <c r="F82" s="8" t="s">
        <v>1293</v>
      </c>
      <c r="G82" s="13" t="s">
        <v>83</v>
      </c>
      <c r="H82" s="19" t="s">
        <v>55</v>
      </c>
      <c r="I82" s="13" t="s">
        <v>11</v>
      </c>
      <c r="J82" s="13" t="s">
        <v>343</v>
      </c>
      <c r="K82" s="13" t="s">
        <v>379</v>
      </c>
      <c r="L82" s="13"/>
      <c r="M82" s="13"/>
      <c r="N82" s="20" t="str">
        <f>HYPERLINK("http://slimages.macys.com/is/image/MCY/20590157 ")</f>
        <v xml:space="preserve">http://slimages.macys.com/is/image/MCY/20590157 </v>
      </c>
    </row>
    <row r="83" spans="1:14" x14ac:dyDescent="0.25">
      <c r="A83" s="19" t="s">
        <v>2019</v>
      </c>
      <c r="B83" s="13" t="s">
        <v>2020</v>
      </c>
      <c r="C83" s="8">
        <v>9</v>
      </c>
      <c r="D83" s="9">
        <v>25</v>
      </c>
      <c r="E83" s="9">
        <v>225</v>
      </c>
      <c r="F83" s="8" t="s">
        <v>1293</v>
      </c>
      <c r="G83" s="13" t="s">
        <v>83</v>
      </c>
      <c r="H83" s="19" t="s">
        <v>27</v>
      </c>
      <c r="I83" s="13" t="s">
        <v>11</v>
      </c>
      <c r="J83" s="13" t="s">
        <v>343</v>
      </c>
      <c r="K83" s="13" t="s">
        <v>379</v>
      </c>
      <c r="L83" s="13"/>
      <c r="M83" s="13"/>
      <c r="N83" s="20" t="str">
        <f>HYPERLINK("http://slimages.macys.com/is/image/MCY/20590157 ")</f>
        <v xml:space="preserve">http://slimages.macys.com/is/image/MCY/20590157 </v>
      </c>
    </row>
    <row r="84" spans="1:14" x14ac:dyDescent="0.25">
      <c r="A84" s="19" t="s">
        <v>1291</v>
      </c>
      <c r="B84" s="13" t="s">
        <v>1292</v>
      </c>
      <c r="C84" s="8">
        <v>4</v>
      </c>
      <c r="D84" s="9">
        <v>25</v>
      </c>
      <c r="E84" s="9">
        <v>100</v>
      </c>
      <c r="F84" s="8" t="s">
        <v>1293</v>
      </c>
      <c r="G84" s="13" t="s">
        <v>31</v>
      </c>
      <c r="H84" s="19" t="s">
        <v>32</v>
      </c>
      <c r="I84" s="13" t="s">
        <v>11</v>
      </c>
      <c r="J84" s="13" t="s">
        <v>343</v>
      </c>
      <c r="K84" s="13" t="s">
        <v>379</v>
      </c>
      <c r="L84" s="13"/>
      <c r="M84" s="13"/>
      <c r="N84" s="20" t="str">
        <f>HYPERLINK("http://slimages.macys.com/is/image/MCY/20590151 ")</f>
        <v xml:space="preserve">http://slimages.macys.com/is/image/MCY/20590151 </v>
      </c>
    </row>
    <row r="85" spans="1:14" x14ac:dyDescent="0.25">
      <c r="A85" s="19" t="s">
        <v>1997</v>
      </c>
      <c r="B85" s="13" t="s">
        <v>1998</v>
      </c>
      <c r="C85" s="8">
        <v>4</v>
      </c>
      <c r="D85" s="9">
        <v>25</v>
      </c>
      <c r="E85" s="9">
        <v>100</v>
      </c>
      <c r="F85" s="8" t="s">
        <v>1293</v>
      </c>
      <c r="G85" s="13" t="s">
        <v>31</v>
      </c>
      <c r="H85" s="19" t="s">
        <v>40</v>
      </c>
      <c r="I85" s="13" t="s">
        <v>11</v>
      </c>
      <c r="J85" s="13" t="s">
        <v>343</v>
      </c>
      <c r="K85" s="13" t="s">
        <v>379</v>
      </c>
      <c r="L85" s="13"/>
      <c r="M85" s="13"/>
      <c r="N85" s="20" t="str">
        <f>HYPERLINK("http://slimages.macys.com/is/image/MCY/20590151 ")</f>
        <v xml:space="preserve">http://slimages.macys.com/is/image/MCY/20590151 </v>
      </c>
    </row>
    <row r="86" spans="1:14" x14ac:dyDescent="0.25">
      <c r="A86" s="19" t="s">
        <v>2032</v>
      </c>
      <c r="B86" s="13" t="s">
        <v>2033</v>
      </c>
      <c r="C86" s="8">
        <v>1</v>
      </c>
      <c r="D86" s="9">
        <v>25</v>
      </c>
      <c r="E86" s="9">
        <v>25</v>
      </c>
      <c r="F86" s="8" t="s">
        <v>1293</v>
      </c>
      <c r="G86" s="13" t="s">
        <v>31</v>
      </c>
      <c r="H86" s="19" t="s">
        <v>55</v>
      </c>
      <c r="I86" s="13" t="s">
        <v>11</v>
      </c>
      <c r="J86" s="13" t="s">
        <v>343</v>
      </c>
      <c r="K86" s="13" t="s">
        <v>379</v>
      </c>
      <c r="L86" s="13"/>
      <c r="M86" s="13"/>
      <c r="N86" s="20" t="str">
        <f>HYPERLINK("http://slimages.macys.com/is/image/MCY/20590151 ")</f>
        <v xml:space="preserve">http://slimages.macys.com/is/image/MCY/20590151 </v>
      </c>
    </row>
    <row r="87" spans="1:14" x14ac:dyDescent="0.25">
      <c r="A87" s="19" t="s">
        <v>2034</v>
      </c>
      <c r="B87" s="13" t="s">
        <v>2035</v>
      </c>
      <c r="C87" s="8">
        <v>12</v>
      </c>
      <c r="D87" s="9">
        <v>25</v>
      </c>
      <c r="E87" s="9">
        <v>300</v>
      </c>
      <c r="F87" s="8" t="s">
        <v>1293</v>
      </c>
      <c r="G87" s="13" t="s">
        <v>82</v>
      </c>
      <c r="H87" s="19" t="s">
        <v>32</v>
      </c>
      <c r="I87" s="13" t="s">
        <v>11</v>
      </c>
      <c r="J87" s="13" t="s">
        <v>343</v>
      </c>
      <c r="K87" s="13" t="s">
        <v>379</v>
      </c>
      <c r="L87" s="13"/>
      <c r="M87" s="13"/>
      <c r="N87" s="20" t="str">
        <f>HYPERLINK("http://slimages.macys.com/is/image/MCY/20590151 ")</f>
        <v xml:space="preserve">http://slimages.macys.com/is/image/MCY/20590151 </v>
      </c>
    </row>
    <row r="88" spans="1:14" x14ac:dyDescent="0.25">
      <c r="A88" s="19" t="s">
        <v>1999</v>
      </c>
      <c r="B88" s="13" t="s">
        <v>2000</v>
      </c>
      <c r="C88" s="8">
        <v>9</v>
      </c>
      <c r="D88" s="9">
        <v>25</v>
      </c>
      <c r="E88" s="9">
        <v>225</v>
      </c>
      <c r="F88" s="8" t="s">
        <v>1293</v>
      </c>
      <c r="G88" s="13" t="s">
        <v>82</v>
      </c>
      <c r="H88" s="19" t="s">
        <v>40</v>
      </c>
      <c r="I88" s="13" t="s">
        <v>11</v>
      </c>
      <c r="J88" s="13" t="s">
        <v>343</v>
      </c>
      <c r="K88" s="13" t="s">
        <v>379</v>
      </c>
      <c r="L88" s="13"/>
      <c r="M88" s="13"/>
      <c r="N88" s="20" t="str">
        <f>HYPERLINK("http://slimages.macys.com/is/image/MCY/20590157 ")</f>
        <v xml:space="preserve">http://slimages.macys.com/is/image/MCY/20590157 </v>
      </c>
    </row>
    <row r="89" spans="1:14" x14ac:dyDescent="0.25">
      <c r="A89" s="19" t="s">
        <v>2001</v>
      </c>
      <c r="B89" s="13" t="s">
        <v>2002</v>
      </c>
      <c r="C89" s="8">
        <v>4</v>
      </c>
      <c r="D89" s="9">
        <v>25</v>
      </c>
      <c r="E89" s="9">
        <v>100</v>
      </c>
      <c r="F89" s="8" t="s">
        <v>1293</v>
      </c>
      <c r="G89" s="13" t="s">
        <v>82</v>
      </c>
      <c r="H89" s="19" t="s">
        <v>55</v>
      </c>
      <c r="I89" s="13" t="s">
        <v>11</v>
      </c>
      <c r="J89" s="13" t="s">
        <v>343</v>
      </c>
      <c r="K89" s="13" t="s">
        <v>379</v>
      </c>
      <c r="L89" s="13"/>
      <c r="M89" s="13"/>
      <c r="N89" s="20" t="str">
        <f>HYPERLINK("http://slimages.macys.com/is/image/MCY/20590157 ")</f>
        <v xml:space="preserve">http://slimages.macys.com/is/image/MCY/20590157 </v>
      </c>
    </row>
    <row r="90" spans="1:14" x14ac:dyDescent="0.25">
      <c r="A90" s="19" t="s">
        <v>1295</v>
      </c>
      <c r="B90" s="13" t="s">
        <v>1296</v>
      </c>
      <c r="C90" s="8">
        <v>5</v>
      </c>
      <c r="D90" s="9">
        <v>25</v>
      </c>
      <c r="E90" s="9">
        <v>125</v>
      </c>
      <c r="F90" s="8" t="s">
        <v>1293</v>
      </c>
      <c r="G90" s="13" t="s">
        <v>82</v>
      </c>
      <c r="H90" s="19" t="s">
        <v>27</v>
      </c>
      <c r="I90" s="13" t="s">
        <v>11</v>
      </c>
      <c r="J90" s="13" t="s">
        <v>343</v>
      </c>
      <c r="K90" s="13" t="s">
        <v>379</v>
      </c>
      <c r="L90" s="13"/>
      <c r="M90" s="13"/>
      <c r="N90" s="20" t="str">
        <f>HYPERLINK("http://slimages.macys.com/is/image/MCY/20590157 ")</f>
        <v xml:space="preserve">http://slimages.macys.com/is/image/MCY/20590157 </v>
      </c>
    </row>
    <row r="91" spans="1:14" x14ac:dyDescent="0.25">
      <c r="A91" s="19" t="s">
        <v>2003</v>
      </c>
      <c r="B91" s="13" t="s">
        <v>2004</v>
      </c>
      <c r="C91" s="8">
        <v>10</v>
      </c>
      <c r="D91" s="9">
        <v>25</v>
      </c>
      <c r="E91" s="9">
        <v>250</v>
      </c>
      <c r="F91" s="8" t="s">
        <v>1293</v>
      </c>
      <c r="G91" s="13" t="s">
        <v>349</v>
      </c>
      <c r="H91" s="19" t="s">
        <v>32</v>
      </c>
      <c r="I91" s="13" t="s">
        <v>11</v>
      </c>
      <c r="J91" s="13" t="s">
        <v>343</v>
      </c>
      <c r="K91" s="13" t="s">
        <v>379</v>
      </c>
      <c r="L91" s="13"/>
      <c r="M91" s="13"/>
      <c r="N91" s="20" t="str">
        <f>HYPERLINK("http://slimages.macys.com/is/image/MCY/20590151 ")</f>
        <v xml:space="preserve">http://slimages.macys.com/is/image/MCY/20590151 </v>
      </c>
    </row>
    <row r="92" spans="1:14" x14ac:dyDescent="0.25">
      <c r="A92" s="19" t="s">
        <v>2005</v>
      </c>
      <c r="B92" s="13" t="s">
        <v>2006</v>
      </c>
      <c r="C92" s="8">
        <v>10</v>
      </c>
      <c r="D92" s="9">
        <v>25</v>
      </c>
      <c r="E92" s="9">
        <v>250</v>
      </c>
      <c r="F92" s="8" t="s">
        <v>1293</v>
      </c>
      <c r="G92" s="13" t="s">
        <v>349</v>
      </c>
      <c r="H92" s="19" t="s">
        <v>40</v>
      </c>
      <c r="I92" s="13" t="s">
        <v>11</v>
      </c>
      <c r="J92" s="13" t="s">
        <v>343</v>
      </c>
      <c r="K92" s="13" t="s">
        <v>379</v>
      </c>
      <c r="L92" s="13"/>
      <c r="M92" s="13"/>
      <c r="N92" s="20" t="str">
        <f>HYPERLINK("http://slimages.macys.com/is/image/MCY/20590151 ")</f>
        <v xml:space="preserve">http://slimages.macys.com/is/image/MCY/20590151 </v>
      </c>
    </row>
    <row r="93" spans="1:14" x14ac:dyDescent="0.25">
      <c r="A93" s="19" t="s">
        <v>2007</v>
      </c>
      <c r="B93" s="13" t="s">
        <v>2008</v>
      </c>
      <c r="C93" s="8">
        <v>5</v>
      </c>
      <c r="D93" s="9">
        <v>25</v>
      </c>
      <c r="E93" s="9">
        <v>125</v>
      </c>
      <c r="F93" s="8" t="s">
        <v>1293</v>
      </c>
      <c r="G93" s="13" t="s">
        <v>349</v>
      </c>
      <c r="H93" s="19" t="s">
        <v>55</v>
      </c>
      <c r="I93" s="13" t="s">
        <v>11</v>
      </c>
      <c r="J93" s="13" t="s">
        <v>343</v>
      </c>
      <c r="K93" s="13" t="s">
        <v>379</v>
      </c>
      <c r="L93" s="13"/>
      <c r="M93" s="13"/>
      <c r="N93" s="20" t="str">
        <f>HYPERLINK("http://slimages.macys.com/is/image/MCY/20590157 ")</f>
        <v xml:space="preserve">http://slimages.macys.com/is/image/MCY/20590157 </v>
      </c>
    </row>
    <row r="94" spans="1:14" x14ac:dyDescent="0.25">
      <c r="A94" s="19" t="s">
        <v>2009</v>
      </c>
      <c r="B94" s="13" t="s">
        <v>2010</v>
      </c>
      <c r="C94" s="8">
        <v>5</v>
      </c>
      <c r="D94" s="9">
        <v>25</v>
      </c>
      <c r="E94" s="9">
        <v>125</v>
      </c>
      <c r="F94" s="8" t="s">
        <v>1293</v>
      </c>
      <c r="G94" s="13" t="s">
        <v>349</v>
      </c>
      <c r="H94" s="19" t="s">
        <v>27</v>
      </c>
      <c r="I94" s="13" t="s">
        <v>11</v>
      </c>
      <c r="J94" s="13" t="s">
        <v>343</v>
      </c>
      <c r="K94" s="13" t="s">
        <v>379</v>
      </c>
      <c r="L94" s="13"/>
      <c r="M94" s="13"/>
      <c r="N94" s="20" t="str">
        <f>HYPERLINK("http://slimages.macys.com/is/image/MCY/20590151 ")</f>
        <v xml:space="preserve">http://slimages.macys.com/is/image/MCY/20590151 </v>
      </c>
    </row>
    <row r="95" spans="1:14" x14ac:dyDescent="0.25">
      <c r="A95" s="19" t="s">
        <v>2011</v>
      </c>
      <c r="B95" s="13" t="s">
        <v>2012</v>
      </c>
      <c r="C95" s="8">
        <v>12</v>
      </c>
      <c r="D95" s="9">
        <v>25</v>
      </c>
      <c r="E95" s="9">
        <v>300</v>
      </c>
      <c r="F95" s="8" t="s">
        <v>1293</v>
      </c>
      <c r="G95" s="13" t="s">
        <v>62</v>
      </c>
      <c r="H95" s="19" t="s">
        <v>32</v>
      </c>
      <c r="I95" s="13" t="s">
        <v>11</v>
      </c>
      <c r="J95" s="13" t="s">
        <v>343</v>
      </c>
      <c r="K95" s="13" t="s">
        <v>379</v>
      </c>
      <c r="L95" s="13"/>
      <c r="M95" s="13"/>
      <c r="N95" s="20" t="str">
        <f>HYPERLINK("http://slimages.macys.com/is/image/MCY/20590151 ")</f>
        <v xml:space="preserve">http://slimages.macys.com/is/image/MCY/20590151 </v>
      </c>
    </row>
    <row r="96" spans="1:14" x14ac:dyDescent="0.25">
      <c r="A96" s="19" t="s">
        <v>2015</v>
      </c>
      <c r="B96" s="13" t="s">
        <v>2016</v>
      </c>
      <c r="C96" s="8">
        <v>12</v>
      </c>
      <c r="D96" s="9">
        <v>25</v>
      </c>
      <c r="E96" s="9">
        <v>300</v>
      </c>
      <c r="F96" s="8" t="s">
        <v>1293</v>
      </c>
      <c r="G96" s="13" t="s">
        <v>62</v>
      </c>
      <c r="H96" s="19" t="s">
        <v>40</v>
      </c>
      <c r="I96" s="13" t="s">
        <v>11</v>
      </c>
      <c r="J96" s="13" t="s">
        <v>343</v>
      </c>
      <c r="K96" s="13" t="s">
        <v>379</v>
      </c>
      <c r="L96" s="13"/>
      <c r="M96" s="13"/>
      <c r="N96" s="20" t="str">
        <f>HYPERLINK("http://slimages.macys.com/is/image/MCY/20590157 ")</f>
        <v xml:space="preserve">http://slimages.macys.com/is/image/MCY/20590157 </v>
      </c>
    </row>
    <row r="97" spans="1:14" x14ac:dyDescent="0.25">
      <c r="A97" s="19" t="s">
        <v>2013</v>
      </c>
      <c r="B97" s="13" t="s">
        <v>2014</v>
      </c>
      <c r="C97" s="8">
        <v>7</v>
      </c>
      <c r="D97" s="9">
        <v>25</v>
      </c>
      <c r="E97" s="9">
        <v>175</v>
      </c>
      <c r="F97" s="8" t="s">
        <v>1293</v>
      </c>
      <c r="G97" s="13" t="s">
        <v>62</v>
      </c>
      <c r="H97" s="19" t="s">
        <v>55</v>
      </c>
      <c r="I97" s="13" t="s">
        <v>11</v>
      </c>
      <c r="J97" s="13" t="s">
        <v>343</v>
      </c>
      <c r="K97" s="13" t="s">
        <v>379</v>
      </c>
      <c r="L97" s="13"/>
      <c r="M97" s="13"/>
      <c r="N97" s="20" t="str">
        <f t="shared" ref="N97:N102" si="3">HYPERLINK("http://slimages.macys.com/is/image/MCY/20590151 ")</f>
        <v xml:space="preserve">http://slimages.macys.com/is/image/MCY/20590151 </v>
      </c>
    </row>
    <row r="98" spans="1:14" x14ac:dyDescent="0.25">
      <c r="A98" s="19" t="s">
        <v>1993</v>
      </c>
      <c r="B98" s="13" t="s">
        <v>1994</v>
      </c>
      <c r="C98" s="8">
        <v>7</v>
      </c>
      <c r="D98" s="9">
        <v>25</v>
      </c>
      <c r="E98" s="9">
        <v>175</v>
      </c>
      <c r="F98" s="8" t="s">
        <v>1293</v>
      </c>
      <c r="G98" s="13" t="s">
        <v>62</v>
      </c>
      <c r="H98" s="19" t="s">
        <v>27</v>
      </c>
      <c r="I98" s="13" t="s">
        <v>11</v>
      </c>
      <c r="J98" s="13" t="s">
        <v>343</v>
      </c>
      <c r="K98" s="13" t="s">
        <v>379</v>
      </c>
      <c r="L98" s="13"/>
      <c r="M98" s="13"/>
      <c r="N98" s="20" t="str">
        <f t="shared" si="3"/>
        <v xml:space="preserve">http://slimages.macys.com/is/image/MCY/20590151 </v>
      </c>
    </row>
    <row r="99" spans="1:14" x14ac:dyDescent="0.25">
      <c r="A99" s="19" t="s">
        <v>2027</v>
      </c>
      <c r="B99" s="13" t="s">
        <v>2028</v>
      </c>
      <c r="C99" s="8">
        <v>13</v>
      </c>
      <c r="D99" s="9">
        <v>25</v>
      </c>
      <c r="E99" s="9">
        <v>325</v>
      </c>
      <c r="F99" s="8" t="s">
        <v>1293</v>
      </c>
      <c r="G99" s="13" t="s">
        <v>102</v>
      </c>
      <c r="H99" s="19" t="s">
        <v>32</v>
      </c>
      <c r="I99" s="13" t="s">
        <v>11</v>
      </c>
      <c r="J99" s="13" t="s">
        <v>343</v>
      </c>
      <c r="K99" s="13" t="s">
        <v>379</v>
      </c>
      <c r="L99" s="13"/>
      <c r="M99" s="13"/>
      <c r="N99" s="20" t="str">
        <f t="shared" si="3"/>
        <v xml:space="preserve">http://slimages.macys.com/is/image/MCY/20590151 </v>
      </c>
    </row>
    <row r="100" spans="1:14" x14ac:dyDescent="0.25">
      <c r="A100" s="19" t="s">
        <v>2021</v>
      </c>
      <c r="B100" s="13" t="s">
        <v>2022</v>
      </c>
      <c r="C100" s="8">
        <v>9</v>
      </c>
      <c r="D100" s="9">
        <v>25</v>
      </c>
      <c r="E100" s="9">
        <v>225</v>
      </c>
      <c r="F100" s="8" t="s">
        <v>1293</v>
      </c>
      <c r="G100" s="13" t="s">
        <v>102</v>
      </c>
      <c r="H100" s="19" t="s">
        <v>40</v>
      </c>
      <c r="I100" s="13" t="s">
        <v>11</v>
      </c>
      <c r="J100" s="13" t="s">
        <v>343</v>
      </c>
      <c r="K100" s="13" t="s">
        <v>379</v>
      </c>
      <c r="L100" s="13"/>
      <c r="M100" s="13"/>
      <c r="N100" s="20" t="str">
        <f t="shared" si="3"/>
        <v xml:space="preserve">http://slimages.macys.com/is/image/MCY/20590151 </v>
      </c>
    </row>
    <row r="101" spans="1:14" x14ac:dyDescent="0.25">
      <c r="A101" s="19" t="s">
        <v>2023</v>
      </c>
      <c r="B101" s="13" t="s">
        <v>2024</v>
      </c>
      <c r="C101" s="8">
        <v>9</v>
      </c>
      <c r="D101" s="9">
        <v>25</v>
      </c>
      <c r="E101" s="9">
        <v>225</v>
      </c>
      <c r="F101" s="8" t="s">
        <v>1293</v>
      </c>
      <c r="G101" s="13" t="s">
        <v>102</v>
      </c>
      <c r="H101" s="19" t="s">
        <v>55</v>
      </c>
      <c r="I101" s="13" t="s">
        <v>11</v>
      </c>
      <c r="J101" s="13" t="s">
        <v>343</v>
      </c>
      <c r="K101" s="13" t="s">
        <v>379</v>
      </c>
      <c r="L101" s="13"/>
      <c r="M101" s="13"/>
      <c r="N101" s="20" t="str">
        <f t="shared" si="3"/>
        <v xml:space="preserve">http://slimages.macys.com/is/image/MCY/20590151 </v>
      </c>
    </row>
    <row r="102" spans="1:14" x14ac:dyDescent="0.25">
      <c r="A102" s="19" t="s">
        <v>2025</v>
      </c>
      <c r="B102" s="13" t="s">
        <v>2026</v>
      </c>
      <c r="C102" s="8">
        <v>8</v>
      </c>
      <c r="D102" s="9">
        <v>25</v>
      </c>
      <c r="E102" s="9">
        <v>200</v>
      </c>
      <c r="F102" s="8" t="s">
        <v>1293</v>
      </c>
      <c r="G102" s="13" t="s">
        <v>102</v>
      </c>
      <c r="H102" s="19" t="s">
        <v>27</v>
      </c>
      <c r="I102" s="13" t="s">
        <v>11</v>
      </c>
      <c r="J102" s="13" t="s">
        <v>343</v>
      </c>
      <c r="K102" s="13" t="s">
        <v>379</v>
      </c>
      <c r="L102" s="13"/>
      <c r="M102" s="13"/>
      <c r="N102" s="20" t="str">
        <f t="shared" si="3"/>
        <v xml:space="preserve">http://slimages.macys.com/is/image/MCY/20590151 </v>
      </c>
    </row>
    <row r="103" spans="1:14" x14ac:dyDescent="0.25">
      <c r="A103" s="19" t="s">
        <v>2029</v>
      </c>
      <c r="B103" s="13" t="s">
        <v>2030</v>
      </c>
      <c r="C103" s="8">
        <v>1</v>
      </c>
      <c r="D103" s="9">
        <v>25</v>
      </c>
      <c r="E103" s="9">
        <v>25</v>
      </c>
      <c r="F103" s="8" t="s">
        <v>2031</v>
      </c>
      <c r="G103" s="13" t="s">
        <v>122</v>
      </c>
      <c r="H103" s="19" t="s">
        <v>32</v>
      </c>
      <c r="I103" s="13" t="s">
        <v>11</v>
      </c>
      <c r="J103" s="13" t="s">
        <v>343</v>
      </c>
      <c r="K103" s="13" t="s">
        <v>379</v>
      </c>
      <c r="L103" s="13"/>
      <c r="M103" s="13"/>
      <c r="N103" s="20" t="str">
        <f>HYPERLINK("http://slimages.macys.com/is/image/MCY/20180037 ")</f>
        <v xml:space="preserve">http://slimages.macys.com/is/image/MCY/20180037 </v>
      </c>
    </row>
    <row r="104" spans="1:14" x14ac:dyDescent="0.25">
      <c r="A104" s="19" t="s">
        <v>2039</v>
      </c>
      <c r="B104" s="13" t="s">
        <v>2040</v>
      </c>
      <c r="C104" s="8">
        <v>1</v>
      </c>
      <c r="D104" s="9">
        <v>12.5</v>
      </c>
      <c r="E104" s="9">
        <v>12.5</v>
      </c>
      <c r="F104" s="8" t="s">
        <v>409</v>
      </c>
      <c r="G104" s="13" t="s">
        <v>122</v>
      </c>
      <c r="H104" s="19" t="s">
        <v>32</v>
      </c>
      <c r="I104" s="13" t="s">
        <v>11</v>
      </c>
      <c r="J104" s="13" t="s">
        <v>343</v>
      </c>
      <c r="K104" s="13" t="s">
        <v>379</v>
      </c>
      <c r="L104" s="13"/>
      <c r="M104" s="13"/>
      <c r="N104" s="20" t="str">
        <f>HYPERLINK("http://slimages.macys.com/is/image/MCY/20180196 ")</f>
        <v xml:space="preserve">http://slimages.macys.com/is/image/MCY/20180196 </v>
      </c>
    </row>
    <row r="105" spans="1:14" x14ac:dyDescent="0.25">
      <c r="A105" s="19" t="s">
        <v>1682</v>
      </c>
      <c r="B105" s="13" t="s">
        <v>1913</v>
      </c>
      <c r="C105" s="8">
        <v>1</v>
      </c>
      <c r="D105" s="9">
        <v>32.99</v>
      </c>
      <c r="E105" s="9">
        <v>32.99</v>
      </c>
      <c r="F105" s="8" t="s">
        <v>287</v>
      </c>
      <c r="G105" s="13" t="s">
        <v>31</v>
      </c>
      <c r="H105" s="19" t="s">
        <v>87</v>
      </c>
      <c r="I105" s="13" t="s">
        <v>11</v>
      </c>
      <c r="J105" s="13" t="s">
        <v>266</v>
      </c>
      <c r="K105" s="13" t="s">
        <v>267</v>
      </c>
      <c r="L105" s="13"/>
      <c r="M105" s="13"/>
      <c r="N105" s="20" t="str">
        <f>HYPERLINK("http://slimages.macys.com/is/image/MCY/19287271 ")</f>
        <v xml:space="preserve">http://slimages.macys.com/is/image/MCY/19287271 </v>
      </c>
    </row>
    <row r="106" spans="1:14" x14ac:dyDescent="0.25">
      <c r="A106" s="19" t="s">
        <v>495</v>
      </c>
      <c r="B106" s="13" t="s">
        <v>496</v>
      </c>
      <c r="C106" s="8">
        <v>1</v>
      </c>
      <c r="D106" s="9">
        <v>5.6</v>
      </c>
      <c r="E106" s="9">
        <v>5.6</v>
      </c>
      <c r="F106" s="8">
        <v>100132108</v>
      </c>
      <c r="G106" s="13" t="s">
        <v>31</v>
      </c>
      <c r="H106" s="19"/>
      <c r="I106" s="13" t="s">
        <v>11</v>
      </c>
      <c r="J106" s="13" t="s">
        <v>457</v>
      </c>
      <c r="K106" s="13" t="s">
        <v>459</v>
      </c>
      <c r="L106" s="13"/>
      <c r="M106" s="13"/>
      <c r="N106" s="20" t="str">
        <f>HYPERLINK("http://slimages.macys.com/is/image/MCY/19787468 ")</f>
        <v xml:space="preserve">http://slimages.macys.com/is/image/MCY/19787468 </v>
      </c>
    </row>
    <row r="107" spans="1:14" x14ac:dyDescent="0.25">
      <c r="A107" s="19" t="s">
        <v>2047</v>
      </c>
      <c r="B107" s="13" t="s">
        <v>2048</v>
      </c>
      <c r="C107" s="8">
        <v>1</v>
      </c>
      <c r="D107" s="9">
        <v>5.6</v>
      </c>
      <c r="E107" s="9">
        <v>5.6</v>
      </c>
      <c r="F107" s="8">
        <v>100121826</v>
      </c>
      <c r="G107" s="13" t="s">
        <v>62</v>
      </c>
      <c r="H107" s="19" t="s">
        <v>27</v>
      </c>
      <c r="I107" s="13" t="s">
        <v>11</v>
      </c>
      <c r="J107" s="13" t="s">
        <v>457</v>
      </c>
      <c r="K107" s="13" t="s">
        <v>459</v>
      </c>
      <c r="L107" s="13"/>
      <c r="M107" s="13"/>
      <c r="N107" s="20" t="str">
        <f>HYPERLINK("http://slimages.macys.com/is/image/MCY/19787468 ")</f>
        <v xml:space="preserve">http://slimages.macys.com/is/image/MCY/19787468 </v>
      </c>
    </row>
    <row r="108" spans="1:14" x14ac:dyDescent="0.25">
      <c r="A108" s="19" t="s">
        <v>2045</v>
      </c>
      <c r="B108" s="13" t="s">
        <v>2046</v>
      </c>
      <c r="C108" s="8">
        <v>1</v>
      </c>
      <c r="D108" s="9">
        <v>5.6</v>
      </c>
      <c r="E108" s="9">
        <v>5.6</v>
      </c>
      <c r="F108" s="8">
        <v>100121826</v>
      </c>
      <c r="G108" s="13" t="s">
        <v>62</v>
      </c>
      <c r="H108" s="19"/>
      <c r="I108" s="13" t="s">
        <v>11</v>
      </c>
      <c r="J108" s="13" t="s">
        <v>457</v>
      </c>
      <c r="K108" s="13" t="s">
        <v>459</v>
      </c>
      <c r="L108" s="13"/>
      <c r="M108" s="13"/>
      <c r="N108" s="20" t="str">
        <f>HYPERLINK("http://slimages.macys.com/is/image/MCY/19787468 ")</f>
        <v xml:space="preserve">http://slimages.macys.com/is/image/MCY/19787468 </v>
      </c>
    </row>
    <row r="109" spans="1:14" x14ac:dyDescent="0.25">
      <c r="A109" s="19" t="s">
        <v>1091</v>
      </c>
      <c r="B109" s="13" t="s">
        <v>1092</v>
      </c>
      <c r="C109" s="8">
        <v>1</v>
      </c>
      <c r="D109" s="9">
        <v>5.6</v>
      </c>
      <c r="E109" s="9">
        <v>5.6</v>
      </c>
      <c r="F109" s="8">
        <v>100131482</v>
      </c>
      <c r="G109" s="13" t="s">
        <v>78</v>
      </c>
      <c r="H109" s="19"/>
      <c r="I109" s="13" t="s">
        <v>11</v>
      </c>
      <c r="J109" s="13" t="s">
        <v>457</v>
      </c>
      <c r="K109" s="13" t="s">
        <v>459</v>
      </c>
      <c r="L109" s="13"/>
      <c r="M109" s="13"/>
      <c r="N109" s="20" t="str">
        <f>HYPERLINK("http://slimages.macys.com/is/image/MCY/19787468 ")</f>
        <v xml:space="preserve">http://slimages.macys.com/is/image/MCY/19787468 </v>
      </c>
    </row>
    <row r="110" spans="1:14" x14ac:dyDescent="0.25">
      <c r="A110" s="19" t="s">
        <v>1901</v>
      </c>
      <c r="B110" s="13" t="s">
        <v>1902</v>
      </c>
      <c r="C110" s="8">
        <v>2</v>
      </c>
      <c r="D110" s="9">
        <v>37.99</v>
      </c>
      <c r="E110" s="9">
        <v>75.98</v>
      </c>
      <c r="F110" s="8" t="s">
        <v>738</v>
      </c>
      <c r="G110" s="13" t="s">
        <v>86</v>
      </c>
      <c r="H110" s="19" t="s">
        <v>32</v>
      </c>
      <c r="I110" s="13" t="s">
        <v>11</v>
      </c>
      <c r="J110" s="13" t="s">
        <v>266</v>
      </c>
      <c r="K110" s="13" t="s">
        <v>267</v>
      </c>
      <c r="L110" s="13"/>
      <c r="M110" s="13"/>
      <c r="N110" s="20" t="str">
        <f>HYPERLINK("http://slimages.macys.com/is/image/MCY/1061179 ")</f>
        <v xml:space="preserve">http://slimages.macys.com/is/image/MCY/1061179 </v>
      </c>
    </row>
    <row r="111" spans="1:14" x14ac:dyDescent="0.25">
      <c r="A111" s="19" t="s">
        <v>1903</v>
      </c>
      <c r="B111" s="13" t="s">
        <v>1904</v>
      </c>
      <c r="C111" s="8">
        <v>1</v>
      </c>
      <c r="D111" s="9">
        <v>37.99</v>
      </c>
      <c r="E111" s="9">
        <v>37.99</v>
      </c>
      <c r="F111" s="8" t="s">
        <v>738</v>
      </c>
      <c r="G111" s="13" t="s">
        <v>86</v>
      </c>
      <c r="H111" s="19" t="s">
        <v>55</v>
      </c>
      <c r="I111" s="13" t="s">
        <v>11</v>
      </c>
      <c r="J111" s="13" t="s">
        <v>266</v>
      </c>
      <c r="K111" s="13" t="s">
        <v>267</v>
      </c>
      <c r="L111" s="13"/>
      <c r="M111" s="13"/>
      <c r="N111" s="20" t="str">
        <f>HYPERLINK("http://slimages.macys.com/is/image/MCY/20226359 ")</f>
        <v xml:space="preserve">http://slimages.macys.com/is/image/MCY/20226359 </v>
      </c>
    </row>
    <row r="112" spans="1:14" x14ac:dyDescent="0.25">
      <c r="A112" s="19" t="s">
        <v>1899</v>
      </c>
      <c r="B112" s="13" t="s">
        <v>1900</v>
      </c>
      <c r="C112" s="8">
        <v>1</v>
      </c>
      <c r="D112" s="9">
        <v>37.99</v>
      </c>
      <c r="E112" s="9">
        <v>37.99</v>
      </c>
      <c r="F112" s="8" t="s">
        <v>738</v>
      </c>
      <c r="G112" s="13" t="s">
        <v>86</v>
      </c>
      <c r="H112" s="19" t="s">
        <v>27</v>
      </c>
      <c r="I112" s="13" t="s">
        <v>11</v>
      </c>
      <c r="J112" s="13" t="s">
        <v>266</v>
      </c>
      <c r="K112" s="13" t="s">
        <v>267</v>
      </c>
      <c r="L112" s="13"/>
      <c r="M112" s="13"/>
      <c r="N112" s="20" t="str">
        <f>HYPERLINK("http://slimages.macys.com/is/image/MCY/1061179 ")</f>
        <v xml:space="preserve">http://slimages.macys.com/is/image/MCY/1061179 </v>
      </c>
    </row>
    <row r="113" spans="1:14" x14ac:dyDescent="0.25">
      <c r="A113" s="19" t="s">
        <v>1897</v>
      </c>
      <c r="B113" s="13" t="s">
        <v>1898</v>
      </c>
      <c r="C113" s="8">
        <v>3</v>
      </c>
      <c r="D113" s="9">
        <v>26.11</v>
      </c>
      <c r="E113" s="9">
        <v>78.33</v>
      </c>
      <c r="F113" s="8" t="s">
        <v>738</v>
      </c>
      <c r="G113" s="13" t="s">
        <v>78</v>
      </c>
      <c r="H113" s="19" t="s">
        <v>40</v>
      </c>
      <c r="I113" s="13" t="s">
        <v>11</v>
      </c>
      <c r="J113" s="13" t="s">
        <v>266</v>
      </c>
      <c r="K113" s="13" t="s">
        <v>267</v>
      </c>
      <c r="L113" s="13"/>
      <c r="M113" s="13"/>
      <c r="N113" s="20" t="str">
        <f>HYPERLINK("http://slimages.macys.com/is/image/MCY/1061179 ")</f>
        <v xml:space="preserve">http://slimages.macys.com/is/image/MCY/1061179 </v>
      </c>
    </row>
    <row r="114" spans="1:14" x14ac:dyDescent="0.25">
      <c r="A114" s="19" t="s">
        <v>1907</v>
      </c>
      <c r="B114" s="13" t="s">
        <v>1908</v>
      </c>
      <c r="C114" s="8">
        <v>1</v>
      </c>
      <c r="D114" s="9">
        <v>37.99</v>
      </c>
      <c r="E114" s="9">
        <v>37.99</v>
      </c>
      <c r="F114" s="8" t="s">
        <v>738</v>
      </c>
      <c r="G114" s="13" t="s">
        <v>78</v>
      </c>
      <c r="H114" s="19" t="s">
        <v>27</v>
      </c>
      <c r="I114" s="13" t="s">
        <v>11</v>
      </c>
      <c r="J114" s="13" t="s">
        <v>266</v>
      </c>
      <c r="K114" s="13" t="s">
        <v>267</v>
      </c>
      <c r="L114" s="13"/>
      <c r="M114" s="13"/>
      <c r="N114" s="20" t="str">
        <f>HYPERLINK("http://slimages.macys.com/is/image/MCY/1051900 ")</f>
        <v xml:space="preserve">http://slimages.macys.com/is/image/MCY/1051900 </v>
      </c>
    </row>
    <row r="115" spans="1:14" x14ac:dyDescent="0.25">
      <c r="A115" s="19" t="s">
        <v>1905</v>
      </c>
      <c r="B115" s="13" t="s">
        <v>1906</v>
      </c>
      <c r="C115" s="8">
        <v>1</v>
      </c>
      <c r="D115" s="9">
        <v>37.99</v>
      </c>
      <c r="E115" s="9">
        <v>37.99</v>
      </c>
      <c r="F115" s="8" t="s">
        <v>738</v>
      </c>
      <c r="G115" s="13" t="s">
        <v>78</v>
      </c>
      <c r="H115" s="19" t="s">
        <v>87</v>
      </c>
      <c r="I115" s="13" t="s">
        <v>11</v>
      </c>
      <c r="J115" s="13" t="s">
        <v>266</v>
      </c>
      <c r="K115" s="13" t="s">
        <v>267</v>
      </c>
      <c r="L115" s="13"/>
      <c r="M115" s="13"/>
      <c r="N115" s="20" t="str">
        <f>HYPERLINK("http://slimages.macys.com/is/image/MCY/1051900 ")</f>
        <v xml:space="preserve">http://slimages.macys.com/is/image/MCY/1051900 </v>
      </c>
    </row>
    <row r="116" spans="1:14" x14ac:dyDescent="0.25">
      <c r="A116" s="19" t="s">
        <v>294</v>
      </c>
      <c r="B116" s="13" t="s">
        <v>295</v>
      </c>
      <c r="C116" s="8">
        <v>1</v>
      </c>
      <c r="D116" s="9">
        <v>27.99</v>
      </c>
      <c r="E116" s="9">
        <v>27.99</v>
      </c>
      <c r="F116" s="8" t="s">
        <v>293</v>
      </c>
      <c r="G116" s="13" t="s">
        <v>86</v>
      </c>
      <c r="H116" s="19" t="s">
        <v>87</v>
      </c>
      <c r="I116" s="13" t="s">
        <v>11</v>
      </c>
      <c r="J116" s="13" t="s">
        <v>266</v>
      </c>
      <c r="K116" s="13" t="s">
        <v>267</v>
      </c>
      <c r="L116" s="13"/>
      <c r="M116" s="13"/>
      <c r="N116" s="20" t="str">
        <f>HYPERLINK("http://slimages.macys.com/is/image/MCY/19287253 ")</f>
        <v xml:space="preserve">http://slimages.macys.com/is/image/MCY/19287253 </v>
      </c>
    </row>
    <row r="117" spans="1:14" x14ac:dyDescent="0.25">
      <c r="A117" s="19" t="s">
        <v>1935</v>
      </c>
      <c r="B117" s="13" t="s">
        <v>1936</v>
      </c>
      <c r="C117" s="8">
        <v>1</v>
      </c>
      <c r="D117" s="9">
        <v>17.989999999999998</v>
      </c>
      <c r="E117" s="9">
        <v>17.989999999999998</v>
      </c>
      <c r="F117" s="8" t="s">
        <v>339</v>
      </c>
      <c r="G117" s="13" t="s">
        <v>140</v>
      </c>
      <c r="H117" s="19" t="s">
        <v>55</v>
      </c>
      <c r="I117" s="13" t="s">
        <v>11</v>
      </c>
      <c r="J117" s="13" t="s">
        <v>266</v>
      </c>
      <c r="K117" s="13" t="s">
        <v>267</v>
      </c>
      <c r="L117" s="13"/>
      <c r="M117" s="13"/>
      <c r="N117" s="20" t="str">
        <f>HYPERLINK("http://slimages.macys.com/is/image/MCY/19909260 ")</f>
        <v xml:space="preserve">http://slimages.macys.com/is/image/MCY/19909260 </v>
      </c>
    </row>
    <row r="118" spans="1:14" x14ac:dyDescent="0.25">
      <c r="A118" s="19" t="s">
        <v>1740</v>
      </c>
      <c r="B118" s="13" t="s">
        <v>1741</v>
      </c>
      <c r="C118" s="8">
        <v>1</v>
      </c>
      <c r="D118" s="9">
        <v>37.99</v>
      </c>
      <c r="E118" s="9">
        <v>37.99</v>
      </c>
      <c r="F118" s="8" t="s">
        <v>1212</v>
      </c>
      <c r="G118" s="13" t="s">
        <v>78</v>
      </c>
      <c r="H118" s="19" t="s">
        <v>32</v>
      </c>
      <c r="I118" s="13" t="s">
        <v>11</v>
      </c>
      <c r="J118" s="13" t="s">
        <v>266</v>
      </c>
      <c r="K118" s="13" t="s">
        <v>267</v>
      </c>
      <c r="L118" s="13"/>
      <c r="M118" s="13"/>
      <c r="N118" s="20" t="str">
        <f>HYPERLINK("http://slimages.macys.com/is/image/MCY/20196377 ")</f>
        <v xml:space="preserve">http://slimages.macys.com/is/image/MCY/20196377 </v>
      </c>
    </row>
    <row r="119" spans="1:14" x14ac:dyDescent="0.25">
      <c r="A119" s="19" t="s">
        <v>1213</v>
      </c>
      <c r="B119" s="13" t="s">
        <v>1214</v>
      </c>
      <c r="C119" s="8">
        <v>2</v>
      </c>
      <c r="D119" s="9">
        <v>37.99</v>
      </c>
      <c r="E119" s="9">
        <v>75.98</v>
      </c>
      <c r="F119" s="8" t="s">
        <v>1212</v>
      </c>
      <c r="G119" s="13" t="s">
        <v>78</v>
      </c>
      <c r="H119" s="19" t="s">
        <v>40</v>
      </c>
      <c r="I119" s="13" t="s">
        <v>11</v>
      </c>
      <c r="J119" s="13" t="s">
        <v>266</v>
      </c>
      <c r="K119" s="13" t="s">
        <v>267</v>
      </c>
      <c r="L119" s="13"/>
      <c r="M119" s="13"/>
      <c r="N119" s="20" t="str">
        <f>HYPERLINK("http://slimages.macys.com/is/image/MCY/20196377 ")</f>
        <v xml:space="preserve">http://slimages.macys.com/is/image/MCY/20196377 </v>
      </c>
    </row>
    <row r="120" spans="1:14" x14ac:dyDescent="0.25">
      <c r="A120" s="19" t="s">
        <v>1002</v>
      </c>
      <c r="B120" s="13" t="s">
        <v>1003</v>
      </c>
      <c r="C120" s="8">
        <v>1</v>
      </c>
      <c r="D120" s="9">
        <v>27.99</v>
      </c>
      <c r="E120" s="9">
        <v>27.99</v>
      </c>
      <c r="F120" s="8" t="s">
        <v>283</v>
      </c>
      <c r="G120" s="13" t="s">
        <v>122</v>
      </c>
      <c r="H120" s="19" t="s">
        <v>32</v>
      </c>
      <c r="I120" s="13" t="s">
        <v>11</v>
      </c>
      <c r="J120" s="13" t="s">
        <v>266</v>
      </c>
      <c r="K120" s="13" t="s">
        <v>267</v>
      </c>
      <c r="L120" s="13"/>
      <c r="M120" s="13"/>
      <c r="N120" s="20" t="str">
        <f>HYPERLINK("http://slimages.macys.com/is/image/MCY/1051900 ")</f>
        <v xml:space="preserve">http://slimages.macys.com/is/image/MCY/1051900 </v>
      </c>
    </row>
    <row r="121" spans="1:14" x14ac:dyDescent="0.25">
      <c r="A121" s="19" t="s">
        <v>1911</v>
      </c>
      <c r="B121" s="13" t="s">
        <v>1912</v>
      </c>
      <c r="C121" s="8">
        <v>1</v>
      </c>
      <c r="D121" s="9">
        <v>27.99</v>
      </c>
      <c r="E121" s="9">
        <v>27.99</v>
      </c>
      <c r="F121" s="8" t="s">
        <v>283</v>
      </c>
      <c r="G121" s="13" t="s">
        <v>122</v>
      </c>
      <c r="H121" s="19" t="s">
        <v>40</v>
      </c>
      <c r="I121" s="13" t="s">
        <v>11</v>
      </c>
      <c r="J121" s="13" t="s">
        <v>266</v>
      </c>
      <c r="K121" s="13" t="s">
        <v>267</v>
      </c>
      <c r="L121" s="13"/>
      <c r="M121" s="13"/>
      <c r="N121" s="20" t="str">
        <f>HYPERLINK("http://slimages.macys.com/is/image/MCY/1051900 ")</f>
        <v xml:space="preserve">http://slimages.macys.com/is/image/MCY/1051900 </v>
      </c>
    </row>
    <row r="122" spans="1:14" x14ac:dyDescent="0.25">
      <c r="A122" s="19" t="s">
        <v>1744</v>
      </c>
      <c r="B122" s="13" t="s">
        <v>1745</v>
      </c>
      <c r="C122" s="8">
        <v>1</v>
      </c>
      <c r="D122" s="9">
        <v>27.99</v>
      </c>
      <c r="E122" s="9">
        <v>27.99</v>
      </c>
      <c r="F122" s="8" t="s">
        <v>283</v>
      </c>
      <c r="G122" s="13" t="s">
        <v>122</v>
      </c>
      <c r="H122" s="19" t="s">
        <v>55</v>
      </c>
      <c r="I122" s="13" t="s">
        <v>11</v>
      </c>
      <c r="J122" s="13" t="s">
        <v>266</v>
      </c>
      <c r="K122" s="13" t="s">
        <v>267</v>
      </c>
      <c r="L122" s="13"/>
      <c r="M122" s="13"/>
      <c r="N122" s="20" t="str">
        <f>HYPERLINK("http://slimages.macys.com/is/image/MCY/1051900 ")</f>
        <v xml:space="preserve">http://slimages.macys.com/is/image/MCY/1051900 </v>
      </c>
    </row>
    <row r="123" spans="1:14" x14ac:dyDescent="0.25">
      <c r="A123" s="19" t="s">
        <v>1218</v>
      </c>
      <c r="B123" s="13" t="s">
        <v>1219</v>
      </c>
      <c r="C123" s="8">
        <v>1</v>
      </c>
      <c r="D123" s="9">
        <v>27.99</v>
      </c>
      <c r="E123" s="9">
        <v>27.99</v>
      </c>
      <c r="F123" s="8" t="s">
        <v>283</v>
      </c>
      <c r="G123" s="13" t="s">
        <v>122</v>
      </c>
      <c r="H123" s="19" t="s">
        <v>27</v>
      </c>
      <c r="I123" s="13" t="s">
        <v>11</v>
      </c>
      <c r="J123" s="13" t="s">
        <v>266</v>
      </c>
      <c r="K123" s="13" t="s">
        <v>267</v>
      </c>
      <c r="L123" s="13"/>
      <c r="M123" s="13"/>
      <c r="N123" s="20" t="str">
        <f>HYPERLINK("http://slimages.macys.com/is/image/MCY/1051900 ")</f>
        <v xml:space="preserve">http://slimages.macys.com/is/image/MCY/1051900 </v>
      </c>
    </row>
    <row r="124" spans="1:14" x14ac:dyDescent="0.25">
      <c r="A124" s="19" t="s">
        <v>1216</v>
      </c>
      <c r="B124" s="13" t="s">
        <v>1217</v>
      </c>
      <c r="C124" s="8">
        <v>1</v>
      </c>
      <c r="D124" s="9">
        <v>27.99</v>
      </c>
      <c r="E124" s="9">
        <v>27.99</v>
      </c>
      <c r="F124" s="8" t="s">
        <v>283</v>
      </c>
      <c r="G124" s="13" t="s">
        <v>205</v>
      </c>
      <c r="H124" s="19" t="s">
        <v>32</v>
      </c>
      <c r="I124" s="13" t="s">
        <v>11</v>
      </c>
      <c r="J124" s="13" t="s">
        <v>266</v>
      </c>
      <c r="K124" s="13" t="s">
        <v>267</v>
      </c>
      <c r="L124" s="13"/>
      <c r="M124" s="13"/>
      <c r="N124" s="20" t="str">
        <f>HYPERLINK("http://slimages.macys.com/is/image/MCY/20225986 ")</f>
        <v xml:space="preserve">http://slimages.macys.com/is/image/MCY/20225986 </v>
      </c>
    </row>
    <row r="125" spans="1:14" x14ac:dyDescent="0.25">
      <c r="A125" s="19" t="s">
        <v>281</v>
      </c>
      <c r="B125" s="13" t="s">
        <v>282</v>
      </c>
      <c r="C125" s="8">
        <v>1</v>
      </c>
      <c r="D125" s="9">
        <v>27.99</v>
      </c>
      <c r="E125" s="9">
        <v>27.99</v>
      </c>
      <c r="F125" s="8" t="s">
        <v>283</v>
      </c>
      <c r="G125" s="13" t="s">
        <v>205</v>
      </c>
      <c r="H125" s="19" t="s">
        <v>40</v>
      </c>
      <c r="I125" s="13" t="s">
        <v>11</v>
      </c>
      <c r="J125" s="13" t="s">
        <v>266</v>
      </c>
      <c r="K125" s="13" t="s">
        <v>267</v>
      </c>
      <c r="L125" s="13"/>
      <c r="M125" s="13"/>
      <c r="N125" s="20" t="str">
        <f>HYPERLINK("http://slimages.macys.com/is/image/MCY/20226009 ")</f>
        <v xml:space="preserve">http://slimages.macys.com/is/image/MCY/20226009 </v>
      </c>
    </row>
    <row r="126" spans="1:14" x14ac:dyDescent="0.25">
      <c r="A126" s="19" t="s">
        <v>1909</v>
      </c>
      <c r="B126" s="13" t="s">
        <v>1910</v>
      </c>
      <c r="C126" s="8">
        <v>1</v>
      </c>
      <c r="D126" s="9">
        <v>27.99</v>
      </c>
      <c r="E126" s="9">
        <v>27.99</v>
      </c>
      <c r="F126" s="8" t="s">
        <v>283</v>
      </c>
      <c r="G126" s="13" t="s">
        <v>205</v>
      </c>
      <c r="H126" s="19" t="s">
        <v>55</v>
      </c>
      <c r="I126" s="13" t="s">
        <v>11</v>
      </c>
      <c r="J126" s="13" t="s">
        <v>266</v>
      </c>
      <c r="K126" s="13" t="s">
        <v>267</v>
      </c>
      <c r="L126" s="13"/>
      <c r="M126" s="13"/>
      <c r="N126" s="20" t="str">
        <f>HYPERLINK("http://slimages.macys.com/is/image/MCY/20226009 ")</f>
        <v xml:space="preserve">http://slimages.macys.com/is/image/MCY/20226009 </v>
      </c>
    </row>
    <row r="127" spans="1:14" x14ac:dyDescent="0.25">
      <c r="A127" s="19" t="s">
        <v>1925</v>
      </c>
      <c r="B127" s="13" t="s">
        <v>1926</v>
      </c>
      <c r="C127" s="8">
        <v>3</v>
      </c>
      <c r="D127" s="9">
        <v>27.99</v>
      </c>
      <c r="E127" s="9">
        <v>83.97</v>
      </c>
      <c r="F127" s="8" t="s">
        <v>1924</v>
      </c>
      <c r="G127" s="13" t="s">
        <v>78</v>
      </c>
      <c r="H127" s="19" t="s">
        <v>32</v>
      </c>
      <c r="I127" s="13" t="s">
        <v>11</v>
      </c>
      <c r="J127" s="13" t="s">
        <v>266</v>
      </c>
      <c r="K127" s="13" t="s">
        <v>267</v>
      </c>
      <c r="L127" s="13"/>
      <c r="M127" s="13"/>
      <c r="N127" s="20" t="str">
        <f>HYPERLINK("http://slimages.macys.com/is/image/MCY/18532343 ")</f>
        <v xml:space="preserve">http://slimages.macys.com/is/image/MCY/18532343 </v>
      </c>
    </row>
    <row r="128" spans="1:14" x14ac:dyDescent="0.25">
      <c r="A128" s="19" t="s">
        <v>1927</v>
      </c>
      <c r="B128" s="13" t="s">
        <v>1928</v>
      </c>
      <c r="C128" s="8">
        <v>9</v>
      </c>
      <c r="D128" s="9">
        <v>27.99</v>
      </c>
      <c r="E128" s="9">
        <v>251.91</v>
      </c>
      <c r="F128" s="8" t="s">
        <v>1924</v>
      </c>
      <c r="G128" s="13" t="s">
        <v>78</v>
      </c>
      <c r="H128" s="19" t="s">
        <v>40</v>
      </c>
      <c r="I128" s="13" t="s">
        <v>11</v>
      </c>
      <c r="J128" s="13" t="s">
        <v>266</v>
      </c>
      <c r="K128" s="13" t="s">
        <v>267</v>
      </c>
      <c r="L128" s="13"/>
      <c r="M128" s="13"/>
      <c r="N128" s="20" t="str">
        <f>HYPERLINK("http://slimages.macys.com/is/image/MCY/18532343 ")</f>
        <v xml:space="preserve">http://slimages.macys.com/is/image/MCY/18532343 </v>
      </c>
    </row>
    <row r="129" spans="1:14" x14ac:dyDescent="0.25">
      <c r="A129" s="19" t="s">
        <v>1931</v>
      </c>
      <c r="B129" s="13" t="s">
        <v>1932</v>
      </c>
      <c r="C129" s="8">
        <v>6</v>
      </c>
      <c r="D129" s="9">
        <v>27.99</v>
      </c>
      <c r="E129" s="9">
        <v>167.94</v>
      </c>
      <c r="F129" s="8" t="s">
        <v>1924</v>
      </c>
      <c r="G129" s="13" t="s">
        <v>78</v>
      </c>
      <c r="H129" s="19" t="s">
        <v>55</v>
      </c>
      <c r="I129" s="13" t="s">
        <v>11</v>
      </c>
      <c r="J129" s="13" t="s">
        <v>266</v>
      </c>
      <c r="K129" s="13" t="s">
        <v>267</v>
      </c>
      <c r="L129" s="13"/>
      <c r="M129" s="13"/>
      <c r="N129" s="20" t="str">
        <f>HYPERLINK("http://slimages.macys.com/is/image/MCY/18532343 ")</f>
        <v xml:space="preserve">http://slimages.macys.com/is/image/MCY/18532343 </v>
      </c>
    </row>
    <row r="130" spans="1:14" x14ac:dyDescent="0.25">
      <c r="A130" s="19" t="s">
        <v>1929</v>
      </c>
      <c r="B130" s="13" t="s">
        <v>1930</v>
      </c>
      <c r="C130" s="8">
        <v>2</v>
      </c>
      <c r="D130" s="9">
        <v>27.99</v>
      </c>
      <c r="E130" s="9">
        <v>55.98</v>
      </c>
      <c r="F130" s="8" t="s">
        <v>1924</v>
      </c>
      <c r="G130" s="13" t="s">
        <v>78</v>
      </c>
      <c r="H130" s="19" t="s">
        <v>27</v>
      </c>
      <c r="I130" s="13" t="s">
        <v>11</v>
      </c>
      <c r="J130" s="13" t="s">
        <v>266</v>
      </c>
      <c r="K130" s="13" t="s">
        <v>267</v>
      </c>
      <c r="L130" s="13"/>
      <c r="M130" s="13"/>
      <c r="N130" s="20" t="str">
        <f>HYPERLINK("http://slimages.macys.com/is/image/MCY/18532343 ")</f>
        <v xml:space="preserve">http://slimages.macys.com/is/image/MCY/18532343 </v>
      </c>
    </row>
    <row r="131" spans="1:14" x14ac:dyDescent="0.25">
      <c r="A131" s="19" t="s">
        <v>1933</v>
      </c>
      <c r="B131" s="13" t="s">
        <v>1934</v>
      </c>
      <c r="C131" s="8">
        <v>3</v>
      </c>
      <c r="D131" s="9">
        <v>27.99</v>
      </c>
      <c r="E131" s="9">
        <v>83.97</v>
      </c>
      <c r="F131" s="8" t="s">
        <v>1924</v>
      </c>
      <c r="G131" s="13" t="s">
        <v>78</v>
      </c>
      <c r="H131" s="19" t="s">
        <v>47</v>
      </c>
      <c r="I131" s="13" t="s">
        <v>11</v>
      </c>
      <c r="J131" s="13" t="s">
        <v>266</v>
      </c>
      <c r="K131" s="13" t="s">
        <v>267</v>
      </c>
      <c r="L131" s="13"/>
      <c r="M131" s="13"/>
      <c r="N131" s="20" t="str">
        <f>HYPERLINK("http://slimages.macys.com/is/image/MCY/18532800 ")</f>
        <v xml:space="preserve">http://slimages.macys.com/is/image/MCY/18532800 </v>
      </c>
    </row>
    <row r="132" spans="1:14" x14ac:dyDescent="0.25">
      <c r="A132" s="19" t="s">
        <v>1922</v>
      </c>
      <c r="B132" s="13" t="s">
        <v>1923</v>
      </c>
      <c r="C132" s="8">
        <v>1</v>
      </c>
      <c r="D132" s="9">
        <v>27.99</v>
      </c>
      <c r="E132" s="9">
        <v>27.99</v>
      </c>
      <c r="F132" s="8" t="s">
        <v>1924</v>
      </c>
      <c r="G132" s="13" t="s">
        <v>78</v>
      </c>
      <c r="H132" s="19" t="s">
        <v>87</v>
      </c>
      <c r="I132" s="13" t="s">
        <v>11</v>
      </c>
      <c r="J132" s="13" t="s">
        <v>266</v>
      </c>
      <c r="K132" s="13" t="s">
        <v>267</v>
      </c>
      <c r="L132" s="13"/>
      <c r="M132" s="13"/>
      <c r="N132" s="20" t="str">
        <f>HYPERLINK("http://slimages.macys.com/is/image/MCY/18532800 ")</f>
        <v xml:space="preserve">http://slimages.macys.com/is/image/MCY/18532800 </v>
      </c>
    </row>
    <row r="133" spans="1:14" x14ac:dyDescent="0.25">
      <c r="A133" s="19" t="s">
        <v>1916</v>
      </c>
      <c r="B133" s="13" t="s">
        <v>1917</v>
      </c>
      <c r="C133" s="8">
        <v>4</v>
      </c>
      <c r="D133" s="9">
        <v>27.99</v>
      </c>
      <c r="E133" s="9">
        <v>111.96</v>
      </c>
      <c r="F133" s="8" t="s">
        <v>1203</v>
      </c>
      <c r="G133" s="13" t="s">
        <v>82</v>
      </c>
      <c r="H133" s="19" t="s">
        <v>32</v>
      </c>
      <c r="I133" s="13" t="s">
        <v>11</v>
      </c>
      <c r="J133" s="13" t="s">
        <v>266</v>
      </c>
      <c r="K133" s="13" t="s">
        <v>267</v>
      </c>
      <c r="L133" s="13"/>
      <c r="M133" s="13"/>
      <c r="N133" s="20" t="str">
        <f>HYPERLINK("http://slimages.macys.com/is/image/MCY/18532800 ")</f>
        <v xml:space="preserve">http://slimages.macys.com/is/image/MCY/18532800 </v>
      </c>
    </row>
    <row r="134" spans="1:14" x14ac:dyDescent="0.25">
      <c r="A134" s="19" t="s">
        <v>1918</v>
      </c>
      <c r="B134" s="13" t="s">
        <v>1919</v>
      </c>
      <c r="C134" s="8">
        <v>6</v>
      </c>
      <c r="D134" s="9">
        <v>27.99</v>
      </c>
      <c r="E134" s="9">
        <v>167.94</v>
      </c>
      <c r="F134" s="8" t="s">
        <v>1203</v>
      </c>
      <c r="G134" s="13" t="s">
        <v>82</v>
      </c>
      <c r="H134" s="19" t="s">
        <v>40</v>
      </c>
      <c r="I134" s="13" t="s">
        <v>11</v>
      </c>
      <c r="J134" s="13" t="s">
        <v>266</v>
      </c>
      <c r="K134" s="13" t="s">
        <v>267</v>
      </c>
      <c r="L134" s="13"/>
      <c r="M134" s="13"/>
      <c r="N134" s="20" t="str">
        <f>HYPERLINK("http://slimages.macys.com/is/image/MCY/18532800 ")</f>
        <v xml:space="preserve">http://slimages.macys.com/is/image/MCY/18532800 </v>
      </c>
    </row>
    <row r="135" spans="1:14" x14ac:dyDescent="0.25">
      <c r="A135" s="19" t="s">
        <v>1914</v>
      </c>
      <c r="B135" s="13" t="s">
        <v>1915</v>
      </c>
      <c r="C135" s="8">
        <v>5</v>
      </c>
      <c r="D135" s="9">
        <v>26.11</v>
      </c>
      <c r="E135" s="9">
        <v>130.55000000000001</v>
      </c>
      <c r="F135" s="8" t="s">
        <v>1203</v>
      </c>
      <c r="G135" s="13" t="s">
        <v>82</v>
      </c>
      <c r="H135" s="19" t="s">
        <v>55</v>
      </c>
      <c r="I135" s="13" t="s">
        <v>11</v>
      </c>
      <c r="J135" s="13" t="s">
        <v>266</v>
      </c>
      <c r="K135" s="13" t="s">
        <v>267</v>
      </c>
      <c r="L135" s="13"/>
      <c r="M135" s="13"/>
      <c r="N135" s="20" t="str">
        <f>HYPERLINK("http://slimages.macys.com/is/image/MCY/18532343 ")</f>
        <v xml:space="preserve">http://slimages.macys.com/is/image/MCY/18532343 </v>
      </c>
    </row>
    <row r="136" spans="1:14" x14ac:dyDescent="0.25">
      <c r="A136" s="19" t="s">
        <v>1201</v>
      </c>
      <c r="B136" s="13" t="s">
        <v>1202</v>
      </c>
      <c r="C136" s="8">
        <v>2</v>
      </c>
      <c r="D136" s="9">
        <v>27.99</v>
      </c>
      <c r="E136" s="9">
        <v>55.98</v>
      </c>
      <c r="F136" s="8" t="s">
        <v>1203</v>
      </c>
      <c r="G136" s="13" t="s">
        <v>82</v>
      </c>
      <c r="H136" s="19" t="s">
        <v>27</v>
      </c>
      <c r="I136" s="13" t="s">
        <v>11</v>
      </c>
      <c r="J136" s="13" t="s">
        <v>266</v>
      </c>
      <c r="K136" s="13" t="s">
        <v>267</v>
      </c>
      <c r="L136" s="13"/>
      <c r="M136" s="13"/>
      <c r="N136" s="20" t="str">
        <f>HYPERLINK("http://slimages.macys.com/is/image/MCY/18532343 ")</f>
        <v xml:space="preserve">http://slimages.macys.com/is/image/MCY/18532343 </v>
      </c>
    </row>
    <row r="137" spans="1:14" x14ac:dyDescent="0.25">
      <c r="A137" s="19" t="s">
        <v>1920</v>
      </c>
      <c r="B137" s="13" t="s">
        <v>1921</v>
      </c>
      <c r="C137" s="8">
        <v>1</v>
      </c>
      <c r="D137" s="9">
        <v>27.99</v>
      </c>
      <c r="E137" s="9">
        <v>27.99</v>
      </c>
      <c r="F137" s="8" t="s">
        <v>1203</v>
      </c>
      <c r="G137" s="13" t="s">
        <v>82</v>
      </c>
      <c r="H137" s="19" t="s">
        <v>47</v>
      </c>
      <c r="I137" s="13" t="s">
        <v>11</v>
      </c>
      <c r="J137" s="13" t="s">
        <v>266</v>
      </c>
      <c r="K137" s="13" t="s">
        <v>267</v>
      </c>
      <c r="L137" s="13"/>
      <c r="M137" s="13"/>
      <c r="N137" s="20" t="str">
        <f>HYPERLINK("http://slimages.macys.com/is/image/MCY/18532800 ")</f>
        <v xml:space="preserve">http://slimages.macys.com/is/image/MCY/18532800 </v>
      </c>
    </row>
    <row r="138" spans="1:14" x14ac:dyDescent="0.25">
      <c r="A138" s="19" t="s">
        <v>871</v>
      </c>
      <c r="B138" s="13" t="s">
        <v>872</v>
      </c>
      <c r="C138" s="8">
        <v>1</v>
      </c>
      <c r="D138" s="9">
        <v>5.6</v>
      </c>
      <c r="E138" s="9">
        <v>5.6</v>
      </c>
      <c r="F138" s="8">
        <v>100110139</v>
      </c>
      <c r="G138" s="13" t="s">
        <v>76</v>
      </c>
      <c r="H138" s="19"/>
      <c r="I138" s="13" t="s">
        <v>11</v>
      </c>
      <c r="J138" s="13" t="s">
        <v>457</v>
      </c>
      <c r="K138" s="13" t="s">
        <v>459</v>
      </c>
      <c r="L138" s="13"/>
      <c r="M138" s="13"/>
      <c r="N138" s="20" t="str">
        <f>HYPERLINK("http://slimages.macys.com/is/image/MCY/19787476 ")</f>
        <v xml:space="preserve">http://slimages.macys.com/is/image/MCY/19787476 </v>
      </c>
    </row>
    <row r="139" spans="1:14" x14ac:dyDescent="0.25">
      <c r="A139" s="19" t="s">
        <v>845</v>
      </c>
      <c r="B139" s="13" t="s">
        <v>846</v>
      </c>
      <c r="C139" s="8">
        <v>1</v>
      </c>
      <c r="D139" s="9">
        <v>5.6</v>
      </c>
      <c r="E139" s="9">
        <v>5.6</v>
      </c>
      <c r="F139" s="8">
        <v>100137426</v>
      </c>
      <c r="G139" s="13" t="s">
        <v>202</v>
      </c>
      <c r="H139" s="19" t="s">
        <v>32</v>
      </c>
      <c r="I139" s="13" t="s">
        <v>11</v>
      </c>
      <c r="J139" s="13" t="s">
        <v>457</v>
      </c>
      <c r="K139" s="13" t="s">
        <v>459</v>
      </c>
      <c r="L139" s="13"/>
      <c r="M139" s="13"/>
      <c r="N139" s="20" t="str">
        <f>HYPERLINK("http://slimages.macys.com/is/image/MCY/1040528 ")</f>
        <v xml:space="preserve">http://slimages.macys.com/is/image/MCY/1040528 </v>
      </c>
    </row>
    <row r="140" spans="1:14" x14ac:dyDescent="0.25">
      <c r="A140" s="19" t="s">
        <v>847</v>
      </c>
      <c r="B140" s="13" t="s">
        <v>848</v>
      </c>
      <c r="C140" s="8">
        <v>1</v>
      </c>
      <c r="D140" s="9">
        <v>5.6</v>
      </c>
      <c r="E140" s="9">
        <v>5.6</v>
      </c>
      <c r="F140" s="8">
        <v>100137426</v>
      </c>
      <c r="G140" s="13" t="s">
        <v>202</v>
      </c>
      <c r="H140" s="19"/>
      <c r="I140" s="13" t="s">
        <v>11</v>
      </c>
      <c r="J140" s="13" t="s">
        <v>457</v>
      </c>
      <c r="K140" s="13" t="s">
        <v>459</v>
      </c>
      <c r="L140" s="13"/>
      <c r="M140" s="13"/>
      <c r="N140" s="20" t="str">
        <f>HYPERLINK("http://slimages.macys.com/is/image/MCY/1040528 ")</f>
        <v xml:space="preserve">http://slimages.macys.com/is/image/MCY/1040528 </v>
      </c>
    </row>
    <row r="141" spans="1:14" x14ac:dyDescent="0.25">
      <c r="A141" s="19" t="s">
        <v>861</v>
      </c>
      <c r="B141" s="13" t="s">
        <v>862</v>
      </c>
      <c r="C141" s="8">
        <v>1</v>
      </c>
      <c r="D141" s="9">
        <v>5.6</v>
      </c>
      <c r="E141" s="9">
        <v>5.6</v>
      </c>
      <c r="F141" s="8">
        <v>100138182</v>
      </c>
      <c r="G141" s="13" t="s">
        <v>76</v>
      </c>
      <c r="H141" s="19" t="s">
        <v>87</v>
      </c>
      <c r="I141" s="13" t="s">
        <v>11</v>
      </c>
      <c r="J141" s="13" t="s">
        <v>457</v>
      </c>
      <c r="K141" s="13" t="s">
        <v>459</v>
      </c>
      <c r="L141" s="13"/>
      <c r="M141" s="13"/>
      <c r="N141" s="20" t="str">
        <f>HYPERLINK("http://slimages.macys.com/is/image/MCY/19787476 ")</f>
        <v xml:space="preserve">http://slimages.macys.com/is/image/MCY/19787476 </v>
      </c>
    </row>
    <row r="142" spans="1:14" x14ac:dyDescent="0.25">
      <c r="A142" s="19" t="s">
        <v>515</v>
      </c>
      <c r="B142" s="13" t="s">
        <v>516</v>
      </c>
      <c r="C142" s="8">
        <v>2</v>
      </c>
      <c r="D142" s="9">
        <v>5.6</v>
      </c>
      <c r="E142" s="9">
        <v>11.2</v>
      </c>
      <c r="F142" s="8">
        <v>100138182</v>
      </c>
      <c r="G142" s="13" t="s">
        <v>76</v>
      </c>
      <c r="H142" s="19"/>
      <c r="I142" s="13" t="s">
        <v>11</v>
      </c>
      <c r="J142" s="13" t="s">
        <v>457</v>
      </c>
      <c r="K142" s="13" t="s">
        <v>459</v>
      </c>
      <c r="L142" s="13"/>
      <c r="M142" s="13"/>
      <c r="N142" s="20" t="str">
        <f>HYPERLINK("http://slimages.macys.com/is/image/MCY/19787476 ")</f>
        <v xml:space="preserve">http://slimages.macys.com/is/image/MCY/19787476 </v>
      </c>
    </row>
    <row r="143" spans="1:14" x14ac:dyDescent="0.25">
      <c r="A143" s="19" t="s">
        <v>509</v>
      </c>
      <c r="B143" s="13" t="s">
        <v>510</v>
      </c>
      <c r="C143" s="8">
        <v>2</v>
      </c>
      <c r="D143" s="9">
        <v>5.6</v>
      </c>
      <c r="E143" s="9">
        <v>11.2</v>
      </c>
      <c r="F143" s="8">
        <v>100131487</v>
      </c>
      <c r="G143" s="13" t="s">
        <v>86</v>
      </c>
      <c r="H143" s="19"/>
      <c r="I143" s="13" t="s">
        <v>11</v>
      </c>
      <c r="J143" s="13" t="s">
        <v>457</v>
      </c>
      <c r="K143" s="13" t="s">
        <v>459</v>
      </c>
      <c r="L143" s="13"/>
      <c r="M143" s="13"/>
      <c r="N143" s="20" t="str">
        <f>HYPERLINK("http://slimages.macys.com/is/image/MCY/19918595 ")</f>
        <v xml:space="preserve">http://slimages.macys.com/is/image/MCY/19918595 </v>
      </c>
    </row>
    <row r="144" spans="1:14" x14ac:dyDescent="0.25">
      <c r="A144" s="19" t="s">
        <v>497</v>
      </c>
      <c r="B144" s="13" t="s">
        <v>498</v>
      </c>
      <c r="C144" s="8">
        <v>1</v>
      </c>
      <c r="D144" s="9">
        <v>5.6</v>
      </c>
      <c r="E144" s="9">
        <v>5.6</v>
      </c>
      <c r="F144" s="8">
        <v>100131488</v>
      </c>
      <c r="G144" s="13" t="s">
        <v>78</v>
      </c>
      <c r="H144" s="19"/>
      <c r="I144" s="13" t="s">
        <v>11</v>
      </c>
      <c r="J144" s="13" t="s">
        <v>457</v>
      </c>
      <c r="K144" s="13" t="s">
        <v>459</v>
      </c>
      <c r="L144" s="13"/>
      <c r="M144" s="13"/>
      <c r="N144" s="20" t="str">
        <f>HYPERLINK("http://slimages.macys.com/is/image/MCY/19278666 ")</f>
        <v xml:space="preserve">http://slimages.macys.com/is/image/MCY/19278666 </v>
      </c>
    </row>
    <row r="145" spans="1:14" x14ac:dyDescent="0.25">
      <c r="A145" s="19" t="s">
        <v>2043</v>
      </c>
      <c r="B145" s="13" t="s">
        <v>2044</v>
      </c>
      <c r="C145" s="8">
        <v>1</v>
      </c>
      <c r="D145" s="9">
        <v>5.6</v>
      </c>
      <c r="E145" s="9">
        <v>5.6</v>
      </c>
      <c r="F145" s="8">
        <v>100131486</v>
      </c>
      <c r="G145" s="13" t="s">
        <v>31</v>
      </c>
      <c r="H145" s="19" t="s">
        <v>87</v>
      </c>
      <c r="I145" s="13" t="s">
        <v>11</v>
      </c>
      <c r="J145" s="13" t="s">
        <v>457</v>
      </c>
      <c r="K145" s="13" t="s">
        <v>459</v>
      </c>
      <c r="L145" s="13"/>
      <c r="M145" s="13"/>
      <c r="N145" s="20" t="str">
        <f>HYPERLINK("http://slimages.macys.com/is/image/MCY/18773886 ")</f>
        <v xml:space="preserve">http://slimages.macys.com/is/image/MCY/18773886 </v>
      </c>
    </row>
    <row r="146" spans="1:14" x14ac:dyDescent="0.25">
      <c r="A146" s="19" t="s">
        <v>1782</v>
      </c>
      <c r="B146" s="13" t="s">
        <v>1783</v>
      </c>
      <c r="C146" s="8">
        <v>1</v>
      </c>
      <c r="D146" s="9">
        <v>5.6</v>
      </c>
      <c r="E146" s="9">
        <v>5.6</v>
      </c>
      <c r="F146" s="8">
        <v>100131486</v>
      </c>
      <c r="G146" s="13" t="s">
        <v>31</v>
      </c>
      <c r="H146" s="19"/>
      <c r="I146" s="13" t="s">
        <v>11</v>
      </c>
      <c r="J146" s="13" t="s">
        <v>457</v>
      </c>
      <c r="K146" s="13" t="s">
        <v>459</v>
      </c>
      <c r="L146" s="13"/>
      <c r="M146" s="13"/>
      <c r="N146" s="20" t="str">
        <f>HYPERLINK("http://slimages.macys.com/is/image/MCY/19918580 ")</f>
        <v xml:space="preserve">http://slimages.macys.com/is/image/MCY/19918580 </v>
      </c>
    </row>
    <row r="147" spans="1:14" x14ac:dyDescent="0.25">
      <c r="A147" s="19" t="s">
        <v>1097</v>
      </c>
      <c r="B147" s="13" t="s">
        <v>1098</v>
      </c>
      <c r="C147" s="8">
        <v>1</v>
      </c>
      <c r="D147" s="9">
        <v>5.6</v>
      </c>
      <c r="E147" s="9">
        <v>5.6</v>
      </c>
      <c r="F147" s="8">
        <v>100132109</v>
      </c>
      <c r="G147" s="13" t="s">
        <v>104</v>
      </c>
      <c r="H147" s="19"/>
      <c r="I147" s="13" t="s">
        <v>11</v>
      </c>
      <c r="J147" s="13" t="s">
        <v>457</v>
      </c>
      <c r="K147" s="13" t="s">
        <v>459</v>
      </c>
      <c r="L147" s="13"/>
      <c r="M147" s="13"/>
      <c r="N147" s="20" t="str">
        <f>HYPERLINK("http://slimages.macys.com/is/image/MCY/18773886 ")</f>
        <v xml:space="preserve">http://slimages.macys.com/is/image/MCY/18773886 </v>
      </c>
    </row>
    <row r="148" spans="1:14" x14ac:dyDescent="0.25">
      <c r="A148" s="19" t="s">
        <v>491</v>
      </c>
      <c r="B148" s="13" t="s">
        <v>492</v>
      </c>
      <c r="C148" s="8">
        <v>1</v>
      </c>
      <c r="D148" s="9">
        <v>26.11</v>
      </c>
      <c r="E148" s="9">
        <v>26.11</v>
      </c>
      <c r="F148" s="8">
        <v>100131484</v>
      </c>
      <c r="G148" s="13" t="s">
        <v>86</v>
      </c>
      <c r="H148" s="19"/>
      <c r="I148" s="13" t="s">
        <v>11</v>
      </c>
      <c r="J148" s="13" t="s">
        <v>457</v>
      </c>
      <c r="K148" s="13" t="s">
        <v>459</v>
      </c>
      <c r="L148" s="13"/>
      <c r="M148" s="13"/>
      <c r="N148" s="20" t="str">
        <f>HYPERLINK("http://slimages.macys.com/is/image/MCY/19918558 ")</f>
        <v xml:space="preserve">http://slimages.macys.com/is/image/MCY/19918558 </v>
      </c>
    </row>
    <row r="149" spans="1:14" x14ac:dyDescent="0.25">
      <c r="A149" s="19" t="s">
        <v>837</v>
      </c>
      <c r="B149" s="13" t="s">
        <v>838</v>
      </c>
      <c r="C149" s="8">
        <v>1</v>
      </c>
      <c r="D149" s="9">
        <v>5.6</v>
      </c>
      <c r="E149" s="9">
        <v>5.6</v>
      </c>
      <c r="F149" s="8">
        <v>100131485</v>
      </c>
      <c r="G149" s="13" t="s">
        <v>83</v>
      </c>
      <c r="H149" s="19" t="s">
        <v>55</v>
      </c>
      <c r="I149" s="13" t="s">
        <v>11</v>
      </c>
      <c r="J149" s="13" t="s">
        <v>457</v>
      </c>
      <c r="K149" s="13" t="s">
        <v>459</v>
      </c>
      <c r="L149" s="13"/>
      <c r="M149" s="13"/>
      <c r="N149" s="20" t="str">
        <f>HYPERLINK("http://slimages.macys.com/is/image/MCY/18773886 ")</f>
        <v xml:space="preserve">http://slimages.macys.com/is/image/MCY/18773886 </v>
      </c>
    </row>
    <row r="150" spans="1:14" x14ac:dyDescent="0.25">
      <c r="A150" s="19" t="s">
        <v>1784</v>
      </c>
      <c r="B150" s="13" t="s">
        <v>1785</v>
      </c>
      <c r="C150" s="8">
        <v>1</v>
      </c>
      <c r="D150" s="9">
        <v>5.6</v>
      </c>
      <c r="E150" s="9">
        <v>5.6</v>
      </c>
      <c r="F150" s="8">
        <v>100131485</v>
      </c>
      <c r="G150" s="13" t="s">
        <v>83</v>
      </c>
      <c r="H150" s="19" t="s">
        <v>87</v>
      </c>
      <c r="I150" s="13" t="s">
        <v>11</v>
      </c>
      <c r="J150" s="13" t="s">
        <v>457</v>
      </c>
      <c r="K150" s="13" t="s">
        <v>459</v>
      </c>
      <c r="L150" s="13"/>
      <c r="M150" s="13"/>
      <c r="N150" s="20" t="str">
        <f>HYPERLINK("http://slimages.macys.com/is/image/MCY/18773886 ")</f>
        <v xml:space="preserve">http://slimages.macys.com/is/image/MCY/18773886 </v>
      </c>
    </row>
    <row r="151" spans="1:14" x14ac:dyDescent="0.25">
      <c r="A151" s="19" t="s">
        <v>2049</v>
      </c>
      <c r="B151" s="13" t="s">
        <v>2050</v>
      </c>
      <c r="C151" s="8">
        <v>1</v>
      </c>
      <c r="D151" s="9">
        <v>23.8</v>
      </c>
      <c r="E151" s="9">
        <v>23.8</v>
      </c>
      <c r="F151" s="8">
        <v>16674</v>
      </c>
      <c r="G151" s="13" t="s">
        <v>83</v>
      </c>
      <c r="H151" s="19"/>
      <c r="I151" s="13" t="s">
        <v>11</v>
      </c>
      <c r="J151" s="13" t="s">
        <v>539</v>
      </c>
      <c r="K151" s="13" t="s">
        <v>889</v>
      </c>
      <c r="L151" s="13"/>
      <c r="M151" s="13"/>
      <c r="N151" s="20" t="str">
        <f>HYPERLINK("http://slimages.macys.com/is/image/MCY/18785585 ")</f>
        <v xml:space="preserve">http://slimages.macys.com/is/image/MCY/18785585 </v>
      </c>
    </row>
    <row r="152" spans="1:14" x14ac:dyDescent="0.25">
      <c r="A152" s="19" t="s">
        <v>1192</v>
      </c>
      <c r="B152" s="13" t="s">
        <v>1193</v>
      </c>
      <c r="C152" s="8">
        <v>1</v>
      </c>
      <c r="D152" s="9">
        <v>31.5</v>
      </c>
      <c r="E152" s="9">
        <v>31.5</v>
      </c>
      <c r="F152" s="8" t="s">
        <v>256</v>
      </c>
      <c r="G152" s="13" t="s">
        <v>31</v>
      </c>
      <c r="H152" s="19" t="s">
        <v>55</v>
      </c>
      <c r="I152" s="13" t="s">
        <v>11</v>
      </c>
      <c r="J152" s="13" t="s">
        <v>240</v>
      </c>
      <c r="K152" s="13" t="s">
        <v>245</v>
      </c>
      <c r="L152" s="13"/>
      <c r="M152" s="13"/>
      <c r="N152" s="20" t="str">
        <f>HYPERLINK("http://slimages.macys.com/is/image/MCY/19632284 ")</f>
        <v xml:space="preserve">http://slimages.macys.com/is/image/MCY/19632284 </v>
      </c>
    </row>
    <row r="153" spans="1:14" x14ac:dyDescent="0.25">
      <c r="A153" s="19" t="s">
        <v>252</v>
      </c>
      <c r="B153" s="13" t="s">
        <v>253</v>
      </c>
      <c r="C153" s="8">
        <v>1</v>
      </c>
      <c r="D153" s="9">
        <v>39</v>
      </c>
      <c r="E153" s="9">
        <v>39</v>
      </c>
      <c r="F153" s="8" t="s">
        <v>254</v>
      </c>
      <c r="G153" s="13" t="s">
        <v>62</v>
      </c>
      <c r="H153" s="19" t="s">
        <v>255</v>
      </c>
      <c r="I153" s="13" t="s">
        <v>11</v>
      </c>
      <c r="J153" s="13" t="s">
        <v>240</v>
      </c>
      <c r="K153" s="13" t="s">
        <v>245</v>
      </c>
      <c r="L153" s="13"/>
      <c r="M153" s="13"/>
      <c r="N153" s="20" t="str">
        <f>HYPERLINK("http://slimages.macys.com/is/image/MCY/19631524 ")</f>
        <v xml:space="preserve">http://slimages.macys.com/is/image/MCY/19631524 </v>
      </c>
    </row>
    <row r="154" spans="1:14" x14ac:dyDescent="0.25">
      <c r="A154" s="19" t="s">
        <v>1196</v>
      </c>
      <c r="B154" s="13" t="s">
        <v>1197</v>
      </c>
      <c r="C154" s="8">
        <v>1</v>
      </c>
      <c r="D154" s="9">
        <v>31.5</v>
      </c>
      <c r="E154" s="9">
        <v>31.5</v>
      </c>
      <c r="F154" s="8" t="s">
        <v>989</v>
      </c>
      <c r="G154" s="13" t="s">
        <v>62</v>
      </c>
      <c r="H154" s="19" t="s">
        <v>55</v>
      </c>
      <c r="I154" s="13" t="s">
        <v>11</v>
      </c>
      <c r="J154" s="13" t="s">
        <v>240</v>
      </c>
      <c r="K154" s="13" t="s">
        <v>245</v>
      </c>
      <c r="L154" s="13"/>
      <c r="M154" s="13"/>
      <c r="N154" s="20" t="str">
        <f>HYPERLINK("http://slimages.macys.com/is/image/MCY/19631518 ")</f>
        <v xml:space="preserve">http://slimages.macys.com/is/image/MCY/19631518 </v>
      </c>
    </row>
    <row r="155" spans="1:14" x14ac:dyDescent="0.25">
      <c r="A155" s="19" t="s">
        <v>1969</v>
      </c>
      <c r="B155" s="13" t="s">
        <v>1970</v>
      </c>
      <c r="C155" s="8">
        <v>1</v>
      </c>
      <c r="D155" s="9">
        <v>29</v>
      </c>
      <c r="E155" s="9">
        <v>29</v>
      </c>
      <c r="F155" s="8" t="s">
        <v>1271</v>
      </c>
      <c r="G155" s="13" t="s">
        <v>349</v>
      </c>
      <c r="H155" s="19" t="s">
        <v>55</v>
      </c>
      <c r="I155" s="13" t="s">
        <v>11</v>
      </c>
      <c r="J155" s="13" t="s">
        <v>343</v>
      </c>
      <c r="K155" s="13" t="s">
        <v>393</v>
      </c>
      <c r="L155" s="13"/>
      <c r="M155" s="13"/>
      <c r="N155" s="20" t="str">
        <f>HYPERLINK("http://slimages.macys.com/is/image/MCY/20069740 ")</f>
        <v xml:space="preserve">http://slimages.macys.com/is/image/MCY/20069740 </v>
      </c>
    </row>
    <row r="156" spans="1:14" x14ac:dyDescent="0.25">
      <c r="A156" s="19" t="s">
        <v>1984</v>
      </c>
      <c r="B156" s="13" t="s">
        <v>1985</v>
      </c>
      <c r="C156" s="8">
        <v>2</v>
      </c>
      <c r="D156" s="9">
        <v>28.8</v>
      </c>
      <c r="E156" s="9">
        <v>57.6</v>
      </c>
      <c r="F156" s="8" t="s">
        <v>1290</v>
      </c>
      <c r="G156" s="13" t="s">
        <v>86</v>
      </c>
      <c r="H156" s="19" t="s">
        <v>40</v>
      </c>
      <c r="I156" s="13" t="s">
        <v>11</v>
      </c>
      <c r="J156" s="13" t="s">
        <v>343</v>
      </c>
      <c r="K156" s="13" t="s">
        <v>393</v>
      </c>
      <c r="L156" s="13"/>
      <c r="M156" s="13"/>
      <c r="N156" s="20" t="str">
        <f>HYPERLINK("http://slimages.macys.com/is/image/MCY/20069875 ")</f>
        <v xml:space="preserve">http://slimages.macys.com/is/image/MCY/20069875 </v>
      </c>
    </row>
    <row r="157" spans="1:14" x14ac:dyDescent="0.25">
      <c r="A157" s="19" t="s">
        <v>2036</v>
      </c>
      <c r="B157" s="13" t="s">
        <v>2037</v>
      </c>
      <c r="C157" s="8">
        <v>1</v>
      </c>
      <c r="D157" s="9">
        <v>25.2</v>
      </c>
      <c r="E157" s="9">
        <v>25.2</v>
      </c>
      <c r="F157" s="8" t="s">
        <v>406</v>
      </c>
      <c r="G157" s="13" t="s">
        <v>137</v>
      </c>
      <c r="H157" s="19" t="s">
        <v>32</v>
      </c>
      <c r="I157" s="13" t="s">
        <v>11</v>
      </c>
      <c r="J157" s="13" t="s">
        <v>343</v>
      </c>
      <c r="K157" s="13" t="s">
        <v>379</v>
      </c>
      <c r="L157" s="13"/>
      <c r="M157" s="13"/>
      <c r="N157" s="20" t="str">
        <f>HYPERLINK("http://slimages.macys.com/is/image/MCY/19388373 ")</f>
        <v xml:space="preserve">http://slimages.macys.com/is/image/MCY/19388373 </v>
      </c>
    </row>
    <row r="158" spans="1:14" x14ac:dyDescent="0.25">
      <c r="A158" s="19" t="s">
        <v>1979</v>
      </c>
      <c r="B158" s="13" t="s">
        <v>1980</v>
      </c>
      <c r="C158" s="8">
        <v>1</v>
      </c>
      <c r="D158" s="9">
        <v>27.6</v>
      </c>
      <c r="E158" s="9">
        <v>27.6</v>
      </c>
      <c r="F158" s="8" t="s">
        <v>392</v>
      </c>
      <c r="G158" s="13" t="s">
        <v>122</v>
      </c>
      <c r="H158" s="19" t="s">
        <v>55</v>
      </c>
      <c r="I158" s="13" t="s">
        <v>11</v>
      </c>
      <c r="J158" s="13" t="s">
        <v>343</v>
      </c>
      <c r="K158" s="13" t="s">
        <v>379</v>
      </c>
      <c r="L158" s="13"/>
      <c r="M158" s="13"/>
      <c r="N158" s="20" t="str">
        <f>HYPERLINK("http://slimages.macys.com/is/image/MCY/20376523 ")</f>
        <v xml:space="preserve">http://slimages.macys.com/is/image/MCY/20376523 </v>
      </c>
    </row>
    <row r="159" spans="1:14" x14ac:dyDescent="0.25">
      <c r="A159" s="19" t="s">
        <v>1959</v>
      </c>
      <c r="B159" s="13" t="s">
        <v>1960</v>
      </c>
      <c r="C159" s="8">
        <v>2</v>
      </c>
      <c r="D159" s="9">
        <v>33.6</v>
      </c>
      <c r="E159" s="9">
        <v>67.2</v>
      </c>
      <c r="F159" s="8" t="s">
        <v>385</v>
      </c>
      <c r="G159" s="13" t="s">
        <v>124</v>
      </c>
      <c r="H159" s="19" t="s">
        <v>32</v>
      </c>
      <c r="I159" s="13" t="s">
        <v>11</v>
      </c>
      <c r="J159" s="13" t="s">
        <v>343</v>
      </c>
      <c r="K159" s="13" t="s">
        <v>379</v>
      </c>
      <c r="L159" s="13"/>
      <c r="M159" s="13"/>
      <c r="N159" s="20" t="str">
        <f>HYPERLINK("http://slimages.macys.com/is/image/MCY/20186538 ")</f>
        <v xml:space="preserve">http://slimages.macys.com/is/image/MCY/20186538 </v>
      </c>
    </row>
    <row r="160" spans="1:14" x14ac:dyDescent="0.25">
      <c r="A160" s="19" t="s">
        <v>1963</v>
      </c>
      <c r="B160" s="13" t="s">
        <v>1964</v>
      </c>
      <c r="C160" s="8">
        <v>3</v>
      </c>
      <c r="D160" s="9">
        <v>33.6</v>
      </c>
      <c r="E160" s="9">
        <v>100.8</v>
      </c>
      <c r="F160" s="8" t="s">
        <v>385</v>
      </c>
      <c r="G160" s="13" t="s">
        <v>124</v>
      </c>
      <c r="H160" s="19" t="s">
        <v>40</v>
      </c>
      <c r="I160" s="13" t="s">
        <v>11</v>
      </c>
      <c r="J160" s="13" t="s">
        <v>343</v>
      </c>
      <c r="K160" s="13" t="s">
        <v>379</v>
      </c>
      <c r="L160" s="13"/>
      <c r="M160" s="13"/>
      <c r="N160" s="20" t="str">
        <f>HYPERLINK("http://slimages.macys.com/is/image/MCY/20186544 ")</f>
        <v xml:space="preserve">http://slimages.macys.com/is/image/MCY/20186544 </v>
      </c>
    </row>
    <row r="161" spans="1:14" x14ac:dyDescent="0.25">
      <c r="A161" s="19" t="s">
        <v>1961</v>
      </c>
      <c r="B161" s="13" t="s">
        <v>1962</v>
      </c>
      <c r="C161" s="8">
        <v>1</v>
      </c>
      <c r="D161" s="9">
        <v>33.6</v>
      </c>
      <c r="E161" s="9">
        <v>33.6</v>
      </c>
      <c r="F161" s="8" t="s">
        <v>385</v>
      </c>
      <c r="G161" s="13" t="s">
        <v>124</v>
      </c>
      <c r="H161" s="19" t="s">
        <v>55</v>
      </c>
      <c r="I161" s="13" t="s">
        <v>11</v>
      </c>
      <c r="J161" s="13" t="s">
        <v>343</v>
      </c>
      <c r="K161" s="13" t="s">
        <v>379</v>
      </c>
      <c r="L161" s="13"/>
      <c r="M161" s="13"/>
      <c r="N161" s="20" t="str">
        <f>HYPERLINK("http://slimages.macys.com/is/image/MCY/20186544 ")</f>
        <v xml:space="preserve">http://slimages.macys.com/is/image/MCY/20186544 </v>
      </c>
    </row>
    <row r="162" spans="1:14" x14ac:dyDescent="0.25">
      <c r="A162" s="19" t="s">
        <v>383</v>
      </c>
      <c r="B162" s="13" t="s">
        <v>384</v>
      </c>
      <c r="C162" s="8">
        <v>1</v>
      </c>
      <c r="D162" s="9">
        <v>33.6</v>
      </c>
      <c r="E162" s="9">
        <v>33.6</v>
      </c>
      <c r="F162" s="8" t="s">
        <v>385</v>
      </c>
      <c r="G162" s="13" t="s">
        <v>124</v>
      </c>
      <c r="H162" s="19" t="s">
        <v>27</v>
      </c>
      <c r="I162" s="13" t="s">
        <v>11</v>
      </c>
      <c r="J162" s="13" t="s">
        <v>343</v>
      </c>
      <c r="K162" s="13" t="s">
        <v>379</v>
      </c>
      <c r="L162" s="13"/>
      <c r="M162" s="13"/>
      <c r="N162" s="20" t="str">
        <f>HYPERLINK("http://slimages.macys.com/is/image/MCY/20186544 ")</f>
        <v xml:space="preserve">http://slimages.macys.com/is/image/MCY/20186544 </v>
      </c>
    </row>
    <row r="163" spans="1:14" x14ac:dyDescent="0.25">
      <c r="A163" s="19" t="s">
        <v>1267</v>
      </c>
      <c r="B163" s="13" t="s">
        <v>1268</v>
      </c>
      <c r="C163" s="8">
        <v>1</v>
      </c>
      <c r="D163" s="9">
        <v>34.799999999999997</v>
      </c>
      <c r="E163" s="9">
        <v>34.799999999999997</v>
      </c>
      <c r="F163" s="8" t="s">
        <v>386</v>
      </c>
      <c r="G163" s="13" t="s">
        <v>122</v>
      </c>
      <c r="H163" s="19" t="s">
        <v>32</v>
      </c>
      <c r="I163" s="13" t="s">
        <v>11</v>
      </c>
      <c r="J163" s="13" t="s">
        <v>343</v>
      </c>
      <c r="K163" s="13" t="s">
        <v>379</v>
      </c>
      <c r="L163" s="13"/>
      <c r="M163" s="13"/>
      <c r="N163" s="20" t="str">
        <f>HYPERLINK("http://slimages.macys.com/is/image/MCY/20067376 ")</f>
        <v xml:space="preserve">http://slimages.macys.com/is/image/MCY/20067376 </v>
      </c>
    </row>
    <row r="164" spans="1:14" x14ac:dyDescent="0.25">
      <c r="A164" s="19" t="s">
        <v>1967</v>
      </c>
      <c r="B164" s="13" t="s">
        <v>1968</v>
      </c>
      <c r="C164" s="8">
        <v>3</v>
      </c>
      <c r="D164" s="9">
        <v>34.799999999999997</v>
      </c>
      <c r="E164" s="9">
        <v>104.4</v>
      </c>
      <c r="F164" s="8" t="s">
        <v>386</v>
      </c>
      <c r="G164" s="13" t="s">
        <v>122</v>
      </c>
      <c r="H164" s="19" t="s">
        <v>40</v>
      </c>
      <c r="I164" s="13" t="s">
        <v>11</v>
      </c>
      <c r="J164" s="13" t="s">
        <v>343</v>
      </c>
      <c r="K164" s="13" t="s">
        <v>379</v>
      </c>
      <c r="L164" s="13"/>
      <c r="M164" s="13"/>
      <c r="N164" s="20" t="str">
        <f>HYPERLINK("http://slimages.macys.com/is/image/MCY/20067376 ")</f>
        <v xml:space="preserve">http://slimages.macys.com/is/image/MCY/20067376 </v>
      </c>
    </row>
    <row r="165" spans="1:14" x14ac:dyDescent="0.25">
      <c r="A165" s="19" t="s">
        <v>1756</v>
      </c>
      <c r="B165" s="13" t="s">
        <v>1757</v>
      </c>
      <c r="C165" s="8">
        <v>1</v>
      </c>
      <c r="D165" s="9">
        <v>34.799999999999997</v>
      </c>
      <c r="E165" s="9">
        <v>34.799999999999997</v>
      </c>
      <c r="F165" s="8" t="s">
        <v>386</v>
      </c>
      <c r="G165" s="13" t="s">
        <v>163</v>
      </c>
      <c r="H165" s="19" t="s">
        <v>27</v>
      </c>
      <c r="I165" s="13" t="s">
        <v>11</v>
      </c>
      <c r="J165" s="13" t="s">
        <v>343</v>
      </c>
      <c r="K165" s="13" t="s">
        <v>379</v>
      </c>
      <c r="L165" s="13"/>
      <c r="M165" s="13"/>
      <c r="N165" s="20" t="str">
        <f>HYPERLINK("http://slimages.macys.com/is/image/MCY/20067376 ")</f>
        <v xml:space="preserve">http://slimages.macys.com/is/image/MCY/20067376 </v>
      </c>
    </row>
    <row r="166" spans="1:14" x14ac:dyDescent="0.25">
      <c r="A166" s="19" t="s">
        <v>1965</v>
      </c>
      <c r="B166" s="13" t="s">
        <v>1966</v>
      </c>
      <c r="C166" s="8">
        <v>2</v>
      </c>
      <c r="D166" s="9">
        <v>34.799999999999997</v>
      </c>
      <c r="E166" s="9">
        <v>69.599999999999994</v>
      </c>
      <c r="F166" s="8" t="s">
        <v>1693</v>
      </c>
      <c r="G166" s="13" t="s">
        <v>238</v>
      </c>
      <c r="H166" s="19" t="s">
        <v>32</v>
      </c>
      <c r="I166" s="13" t="s">
        <v>11</v>
      </c>
      <c r="J166" s="13" t="s">
        <v>343</v>
      </c>
      <c r="K166" s="13" t="s">
        <v>379</v>
      </c>
      <c r="L166" s="13"/>
      <c r="M166" s="13"/>
      <c r="N166" s="20" t="str">
        <f>HYPERLINK("http://slimages.macys.com/is/image/MCY/20067529 ")</f>
        <v xml:space="preserve">http://slimages.macys.com/is/image/MCY/20067529 </v>
      </c>
    </row>
    <row r="167" spans="1:14" x14ac:dyDescent="0.25">
      <c r="A167" s="19" t="s">
        <v>1981</v>
      </c>
      <c r="B167" s="13" t="s">
        <v>1982</v>
      </c>
      <c r="C167" s="8">
        <v>1</v>
      </c>
      <c r="D167" s="9">
        <v>27.6</v>
      </c>
      <c r="E167" s="9">
        <v>27.6</v>
      </c>
      <c r="F167" s="8" t="s">
        <v>1983</v>
      </c>
      <c r="G167" s="13" t="s">
        <v>31</v>
      </c>
      <c r="H167" s="19" t="s">
        <v>27</v>
      </c>
      <c r="I167" s="13" t="s">
        <v>11</v>
      </c>
      <c r="J167" s="13" t="s">
        <v>343</v>
      </c>
      <c r="K167" s="13" t="s">
        <v>379</v>
      </c>
      <c r="L167" s="13"/>
      <c r="M167" s="13"/>
      <c r="N167" s="20" t="str">
        <f>HYPERLINK("http://slimages.macys.com/is/image/MCY/20385379 ")</f>
        <v xml:space="preserve">http://slimages.macys.com/is/image/MCY/20385379 </v>
      </c>
    </row>
    <row r="168" spans="1:14" x14ac:dyDescent="0.25">
      <c r="A168" s="19" t="s">
        <v>1991</v>
      </c>
      <c r="B168" s="13" t="s">
        <v>1992</v>
      </c>
      <c r="C168" s="8">
        <v>1</v>
      </c>
      <c r="D168" s="9">
        <v>25.2</v>
      </c>
      <c r="E168" s="9">
        <v>25.2</v>
      </c>
      <c r="F168" s="8" t="s">
        <v>1990</v>
      </c>
      <c r="G168" s="13" t="s">
        <v>202</v>
      </c>
      <c r="H168" s="19" t="s">
        <v>32</v>
      </c>
      <c r="I168" s="13" t="s">
        <v>11</v>
      </c>
      <c r="J168" s="13" t="s">
        <v>343</v>
      </c>
      <c r="K168" s="13" t="s">
        <v>379</v>
      </c>
      <c r="L168" s="13"/>
      <c r="M168" s="13"/>
      <c r="N168" s="20" t="str">
        <f>HYPERLINK("http://slimages.macys.com/is/image/MCY/19531982 ")</f>
        <v xml:space="preserve">http://slimages.macys.com/is/image/MCY/19531982 </v>
      </c>
    </row>
    <row r="169" spans="1:14" x14ac:dyDescent="0.25">
      <c r="A169" s="19" t="s">
        <v>1988</v>
      </c>
      <c r="B169" s="13" t="s">
        <v>1989</v>
      </c>
      <c r="C169" s="8">
        <v>1</v>
      </c>
      <c r="D169" s="9">
        <v>25.2</v>
      </c>
      <c r="E169" s="9">
        <v>25.2</v>
      </c>
      <c r="F169" s="8" t="s">
        <v>1990</v>
      </c>
      <c r="G169" s="13" t="s">
        <v>202</v>
      </c>
      <c r="H169" s="19" t="s">
        <v>40</v>
      </c>
      <c r="I169" s="13" t="s">
        <v>11</v>
      </c>
      <c r="J169" s="13" t="s">
        <v>343</v>
      </c>
      <c r="K169" s="13" t="s">
        <v>379</v>
      </c>
      <c r="L169" s="13"/>
      <c r="M169" s="13"/>
      <c r="N169" s="20" t="str">
        <f>HYPERLINK("http://slimages.macys.com/is/image/MCY/19531983 ")</f>
        <v xml:space="preserve">http://slimages.macys.com/is/image/MCY/19531983 </v>
      </c>
    </row>
    <row r="170" spans="1:14" x14ac:dyDescent="0.25">
      <c r="A170" s="19" t="s">
        <v>380</v>
      </c>
      <c r="B170" s="13" t="s">
        <v>381</v>
      </c>
      <c r="C170" s="8">
        <v>4</v>
      </c>
      <c r="D170" s="9">
        <v>34.799999999999997</v>
      </c>
      <c r="E170" s="9">
        <v>139.19999999999999</v>
      </c>
      <c r="F170" s="8" t="s">
        <v>377</v>
      </c>
      <c r="G170" s="13" t="s">
        <v>378</v>
      </c>
      <c r="H170" s="19" t="s">
        <v>32</v>
      </c>
      <c r="I170" s="13" t="s">
        <v>11</v>
      </c>
      <c r="J170" s="13" t="s">
        <v>343</v>
      </c>
      <c r="K170" s="13" t="s">
        <v>379</v>
      </c>
      <c r="L170" s="13"/>
      <c r="M170" s="13"/>
      <c r="N170" s="20" t="str">
        <f t="shared" ref="N170:N175" si="4">HYPERLINK("http://slimages.macys.com/is/image/MCY/20067424 ")</f>
        <v xml:space="preserve">http://slimages.macys.com/is/image/MCY/20067424 </v>
      </c>
    </row>
    <row r="171" spans="1:14" x14ac:dyDescent="0.25">
      <c r="A171" s="19" t="s">
        <v>375</v>
      </c>
      <c r="B171" s="13" t="s">
        <v>376</v>
      </c>
      <c r="C171" s="8">
        <v>4</v>
      </c>
      <c r="D171" s="9">
        <v>34.799999999999997</v>
      </c>
      <c r="E171" s="9">
        <v>139.19999999999999</v>
      </c>
      <c r="F171" s="8" t="s">
        <v>377</v>
      </c>
      <c r="G171" s="13" t="s">
        <v>378</v>
      </c>
      <c r="H171" s="19" t="s">
        <v>40</v>
      </c>
      <c r="I171" s="13" t="s">
        <v>11</v>
      </c>
      <c r="J171" s="13" t="s">
        <v>343</v>
      </c>
      <c r="K171" s="13" t="s">
        <v>379</v>
      </c>
      <c r="L171" s="13"/>
      <c r="M171" s="13"/>
      <c r="N171" s="20" t="str">
        <f t="shared" si="4"/>
        <v xml:space="preserve">http://slimages.macys.com/is/image/MCY/20067424 </v>
      </c>
    </row>
    <row r="172" spans="1:14" x14ac:dyDescent="0.25">
      <c r="A172" s="19" t="s">
        <v>1957</v>
      </c>
      <c r="B172" s="13" t="s">
        <v>1958</v>
      </c>
      <c r="C172" s="8">
        <v>2</v>
      </c>
      <c r="D172" s="9">
        <v>34.799999999999997</v>
      </c>
      <c r="E172" s="9">
        <v>69.599999999999994</v>
      </c>
      <c r="F172" s="8" t="s">
        <v>377</v>
      </c>
      <c r="G172" s="13" t="s">
        <v>378</v>
      </c>
      <c r="H172" s="19" t="s">
        <v>55</v>
      </c>
      <c r="I172" s="13" t="s">
        <v>11</v>
      </c>
      <c r="J172" s="13" t="s">
        <v>343</v>
      </c>
      <c r="K172" s="13" t="s">
        <v>379</v>
      </c>
      <c r="L172" s="13"/>
      <c r="M172" s="13"/>
      <c r="N172" s="20" t="str">
        <f t="shared" si="4"/>
        <v xml:space="preserve">http://slimages.macys.com/is/image/MCY/20067424 </v>
      </c>
    </row>
    <row r="173" spans="1:14" x14ac:dyDescent="0.25">
      <c r="A173" s="19" t="s">
        <v>1264</v>
      </c>
      <c r="B173" s="13" t="s">
        <v>1265</v>
      </c>
      <c r="C173" s="8">
        <v>3</v>
      </c>
      <c r="D173" s="9">
        <v>34.799999999999997</v>
      </c>
      <c r="E173" s="9">
        <v>104.4</v>
      </c>
      <c r="F173" s="8" t="s">
        <v>377</v>
      </c>
      <c r="G173" s="13" t="s">
        <v>378</v>
      </c>
      <c r="H173" s="19" t="s">
        <v>27</v>
      </c>
      <c r="I173" s="13" t="s">
        <v>11</v>
      </c>
      <c r="J173" s="13" t="s">
        <v>343</v>
      </c>
      <c r="K173" s="13" t="s">
        <v>379</v>
      </c>
      <c r="L173" s="13"/>
      <c r="M173" s="13"/>
      <c r="N173" s="20" t="str">
        <f t="shared" si="4"/>
        <v xml:space="preserve">http://slimages.macys.com/is/image/MCY/20067424 </v>
      </c>
    </row>
    <row r="174" spans="1:14" x14ac:dyDescent="0.25">
      <c r="A174" s="19" t="s">
        <v>1955</v>
      </c>
      <c r="B174" s="13" t="s">
        <v>1956</v>
      </c>
      <c r="C174" s="8">
        <v>1</v>
      </c>
      <c r="D174" s="9">
        <v>34.799999999999997</v>
      </c>
      <c r="E174" s="9">
        <v>34.799999999999997</v>
      </c>
      <c r="F174" s="8" t="s">
        <v>377</v>
      </c>
      <c r="G174" s="13" t="s">
        <v>107</v>
      </c>
      <c r="H174" s="19" t="s">
        <v>40</v>
      </c>
      <c r="I174" s="13" t="s">
        <v>11</v>
      </c>
      <c r="J174" s="13" t="s">
        <v>343</v>
      </c>
      <c r="K174" s="13" t="s">
        <v>379</v>
      </c>
      <c r="L174" s="13"/>
      <c r="M174" s="13"/>
      <c r="N174" s="20" t="str">
        <f t="shared" si="4"/>
        <v xml:space="preserve">http://slimages.macys.com/is/image/MCY/20067424 </v>
      </c>
    </row>
    <row r="175" spans="1:14" x14ac:dyDescent="0.25">
      <c r="A175" s="19" t="s">
        <v>1953</v>
      </c>
      <c r="B175" s="13" t="s">
        <v>1954</v>
      </c>
      <c r="C175" s="8">
        <v>2</v>
      </c>
      <c r="D175" s="9">
        <v>34.799999999999997</v>
      </c>
      <c r="E175" s="9">
        <v>69.599999999999994</v>
      </c>
      <c r="F175" s="8" t="s">
        <v>377</v>
      </c>
      <c r="G175" s="13" t="s">
        <v>102</v>
      </c>
      <c r="H175" s="19" t="s">
        <v>27</v>
      </c>
      <c r="I175" s="13" t="s">
        <v>11</v>
      </c>
      <c r="J175" s="13" t="s">
        <v>343</v>
      </c>
      <c r="K175" s="13" t="s">
        <v>379</v>
      </c>
      <c r="L175" s="13"/>
      <c r="M175" s="13"/>
      <c r="N175" s="20" t="str">
        <f t="shared" si="4"/>
        <v xml:space="preserve">http://slimages.macys.com/is/image/MCY/20067424 </v>
      </c>
    </row>
    <row r="176" spans="1:14" x14ac:dyDescent="0.25">
      <c r="A176" s="19" t="s">
        <v>1950</v>
      </c>
      <c r="B176" s="13" t="s">
        <v>1951</v>
      </c>
      <c r="C176" s="8">
        <v>1</v>
      </c>
      <c r="D176" s="9">
        <v>26.11</v>
      </c>
      <c r="E176" s="9">
        <v>26.11</v>
      </c>
      <c r="F176" s="8" t="s">
        <v>1952</v>
      </c>
      <c r="G176" s="13" t="s">
        <v>173</v>
      </c>
      <c r="H176" s="19" t="s">
        <v>40</v>
      </c>
      <c r="I176" s="13" t="s">
        <v>11</v>
      </c>
      <c r="J176" s="13" t="s">
        <v>343</v>
      </c>
      <c r="K176" s="13" t="s">
        <v>379</v>
      </c>
      <c r="L176" s="13"/>
      <c r="M176" s="13"/>
      <c r="N176" s="20" t="str">
        <f>HYPERLINK("http://slimages.macys.com/is/image/MCY/19713553 ")</f>
        <v xml:space="preserve">http://slimages.macys.com/is/image/MCY/19713553 </v>
      </c>
    </row>
    <row r="177" spans="1:14" x14ac:dyDescent="0.25">
      <c r="A177" s="19" t="s">
        <v>1973</v>
      </c>
      <c r="B177" s="13" t="s">
        <v>1974</v>
      </c>
      <c r="C177" s="8">
        <v>2</v>
      </c>
      <c r="D177" s="9">
        <v>34.799999999999997</v>
      </c>
      <c r="E177" s="9">
        <v>69.599999999999994</v>
      </c>
      <c r="F177" s="8" t="s">
        <v>1272</v>
      </c>
      <c r="G177" s="13" t="s">
        <v>44</v>
      </c>
      <c r="H177" s="19" t="s">
        <v>40</v>
      </c>
      <c r="I177" s="13" t="s">
        <v>11</v>
      </c>
      <c r="J177" s="13" t="s">
        <v>343</v>
      </c>
      <c r="K177" s="13" t="s">
        <v>379</v>
      </c>
      <c r="L177" s="13"/>
      <c r="M177" s="13"/>
      <c r="N177" s="20" t="str">
        <f>HYPERLINK("http://slimages.macys.com/is/image/MCY/20291358 ")</f>
        <v xml:space="preserve">http://slimages.macys.com/is/image/MCY/20291358 </v>
      </c>
    </row>
    <row r="178" spans="1:14" x14ac:dyDescent="0.25">
      <c r="A178" s="19" t="s">
        <v>1971</v>
      </c>
      <c r="B178" s="13" t="s">
        <v>1972</v>
      </c>
      <c r="C178" s="8">
        <v>2</v>
      </c>
      <c r="D178" s="9">
        <v>34.799999999999997</v>
      </c>
      <c r="E178" s="9">
        <v>69.599999999999994</v>
      </c>
      <c r="F178" s="8" t="s">
        <v>1272</v>
      </c>
      <c r="G178" s="13" t="s">
        <v>44</v>
      </c>
      <c r="H178" s="19" t="s">
        <v>55</v>
      </c>
      <c r="I178" s="13" t="s">
        <v>11</v>
      </c>
      <c r="J178" s="13" t="s">
        <v>343</v>
      </c>
      <c r="K178" s="13" t="s">
        <v>379</v>
      </c>
      <c r="L178" s="13"/>
      <c r="M178" s="13"/>
      <c r="N178" s="20" t="str">
        <f>HYPERLINK("http://slimages.macys.com/is/image/MCY/20291358 ")</f>
        <v xml:space="preserve">http://slimages.macys.com/is/image/MCY/20291358 </v>
      </c>
    </row>
    <row r="179" spans="1:14" x14ac:dyDescent="0.25">
      <c r="A179" s="19" t="s">
        <v>1975</v>
      </c>
      <c r="B179" s="13" t="s">
        <v>1976</v>
      </c>
      <c r="C179" s="8">
        <v>3</v>
      </c>
      <c r="D179" s="9">
        <v>34.799999999999997</v>
      </c>
      <c r="E179" s="9">
        <v>104.4</v>
      </c>
      <c r="F179" s="8" t="s">
        <v>1272</v>
      </c>
      <c r="G179" s="13" t="s">
        <v>44</v>
      </c>
      <c r="H179" s="19" t="s">
        <v>27</v>
      </c>
      <c r="I179" s="13" t="s">
        <v>11</v>
      </c>
      <c r="J179" s="13" t="s">
        <v>343</v>
      </c>
      <c r="K179" s="13" t="s">
        <v>379</v>
      </c>
      <c r="L179" s="13"/>
      <c r="M179" s="13"/>
      <c r="N179" s="20" t="str">
        <f>HYPERLINK("http://slimages.macys.com/is/image/MCY/20291358 ")</f>
        <v xml:space="preserve">http://slimages.macys.com/is/image/MCY/20291358 </v>
      </c>
    </row>
    <row r="180" spans="1:14" x14ac:dyDescent="0.25">
      <c r="A180" s="19" t="s">
        <v>1702</v>
      </c>
      <c r="B180" s="13" t="s">
        <v>2038</v>
      </c>
      <c r="C180" s="8">
        <v>1</v>
      </c>
      <c r="D180" s="9">
        <v>36</v>
      </c>
      <c r="E180" s="9">
        <v>36</v>
      </c>
      <c r="F180" s="8" t="s">
        <v>408</v>
      </c>
      <c r="G180" s="13" t="s">
        <v>122</v>
      </c>
      <c r="H180" s="19" t="s">
        <v>32</v>
      </c>
      <c r="I180" s="13" t="s">
        <v>11</v>
      </c>
      <c r="J180" s="13" t="s">
        <v>343</v>
      </c>
      <c r="K180" s="13" t="s">
        <v>379</v>
      </c>
      <c r="L180" s="13"/>
      <c r="M180" s="13"/>
      <c r="N180" s="20" t="str">
        <f>HYPERLINK("http://slimages.macys.com/is/image/MCY/19626313 ")</f>
        <v xml:space="preserve">http://slimages.macys.com/is/image/MCY/19626313 </v>
      </c>
    </row>
  </sheetData>
  <sortState ref="A2:N180">
    <sortCondition ref="B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4"/>
  <sheetViews>
    <sheetView workbookViewId="0">
      <selection activeCell="B14" sqref="B14"/>
    </sheetView>
  </sheetViews>
  <sheetFormatPr defaultColWidth="80.7109375" defaultRowHeight="15" x14ac:dyDescent="0.25"/>
  <cols>
    <col min="1" max="1" width="13.140625" style="12" bestFit="1" customWidth="1"/>
    <col min="2" max="2" width="69.140625" style="12" bestFit="1" customWidth="1"/>
    <col min="3" max="3" width="12.42578125" style="12" bestFit="1" customWidth="1"/>
    <col min="4" max="4" width="15" style="12" bestFit="1" customWidth="1"/>
    <col min="5" max="5" width="21" style="12" bestFit="1" customWidth="1"/>
    <col min="6" max="6" width="15.85546875" style="12" bestFit="1" customWidth="1"/>
    <col min="7" max="7" width="13.140625" style="12" bestFit="1" customWidth="1"/>
    <col min="8" max="8" width="9.7109375" style="12" bestFit="1" customWidth="1"/>
    <col min="9" max="9" width="8.140625" style="12" bestFit="1" customWidth="1"/>
    <col min="10" max="10" width="17.5703125" style="12" bestFit="1" customWidth="1"/>
    <col min="11" max="11" width="39.5703125" style="12" bestFit="1" customWidth="1"/>
    <col min="12" max="12" width="17.7109375" style="12" bestFit="1" customWidth="1"/>
    <col min="13" max="13" width="58.28515625" style="12" bestFit="1" customWidth="1"/>
    <col min="14" max="14" width="48.140625" style="12" bestFit="1" customWidth="1"/>
    <col min="15" max="16384" width="80.7109375" style="12"/>
  </cols>
  <sheetData>
    <row r="1" spans="1:14" x14ac:dyDescent="0.25">
      <c r="A1" s="15" t="s">
        <v>12</v>
      </c>
      <c r="B1" s="15" t="s">
        <v>13</v>
      </c>
      <c r="C1" s="15" t="s">
        <v>14</v>
      </c>
      <c r="D1" s="15" t="s">
        <v>5</v>
      </c>
      <c r="E1" s="15" t="s">
        <v>9</v>
      </c>
      <c r="F1" s="15" t="s">
        <v>15</v>
      </c>
      <c r="G1" s="15" t="s">
        <v>16</v>
      </c>
      <c r="H1" s="15" t="s">
        <v>17</v>
      </c>
      <c r="I1" s="15" t="s">
        <v>10</v>
      </c>
      <c r="J1" s="15" t="s">
        <v>18</v>
      </c>
      <c r="K1" s="15" t="s">
        <v>19</v>
      </c>
      <c r="L1" s="15" t="s">
        <v>20</v>
      </c>
      <c r="M1" s="15" t="s">
        <v>21</v>
      </c>
      <c r="N1" s="15" t="s">
        <v>22</v>
      </c>
    </row>
    <row r="2" spans="1:14" x14ac:dyDescent="0.25">
      <c r="A2" s="21" t="s">
        <v>2064</v>
      </c>
      <c r="B2" s="16" t="s">
        <v>2065</v>
      </c>
      <c r="C2" s="17">
        <v>1</v>
      </c>
      <c r="D2" s="22">
        <v>25.99</v>
      </c>
      <c r="E2" s="22">
        <v>25.99</v>
      </c>
      <c r="F2" s="17" t="s">
        <v>61</v>
      </c>
      <c r="G2" s="16" t="s">
        <v>31</v>
      </c>
      <c r="H2" s="21" t="s">
        <v>40</v>
      </c>
      <c r="I2" s="16" t="s">
        <v>11</v>
      </c>
      <c r="J2" s="16" t="s">
        <v>28</v>
      </c>
      <c r="K2" s="16" t="s">
        <v>29</v>
      </c>
      <c r="L2" s="16"/>
      <c r="M2" s="16"/>
      <c r="N2" s="23" t="str">
        <f>HYPERLINK("http://slimages.macys.com/is/image/MCY/18530208 ")</f>
        <v xml:space="preserve">http://slimages.macys.com/is/image/MCY/18530208 </v>
      </c>
    </row>
    <row r="3" spans="1:14" x14ac:dyDescent="0.25">
      <c r="A3" s="21" t="s">
        <v>59</v>
      </c>
      <c r="B3" s="16" t="s">
        <v>60</v>
      </c>
      <c r="C3" s="17">
        <v>1</v>
      </c>
      <c r="D3" s="22">
        <v>25.99</v>
      </c>
      <c r="E3" s="22">
        <v>25.99</v>
      </c>
      <c r="F3" s="17" t="s">
        <v>61</v>
      </c>
      <c r="G3" s="16" t="s">
        <v>31</v>
      </c>
      <c r="H3" s="21" t="s">
        <v>55</v>
      </c>
      <c r="I3" s="16" t="s">
        <v>11</v>
      </c>
      <c r="J3" s="16" t="s">
        <v>28</v>
      </c>
      <c r="K3" s="16" t="s">
        <v>29</v>
      </c>
      <c r="L3" s="16"/>
      <c r="M3" s="16"/>
      <c r="N3" s="23" t="str">
        <f>HYPERLINK("http://slimages.macys.com/is/image/MCY/18530208 ")</f>
        <v xml:space="preserve">http://slimages.macys.com/is/image/MCY/18530208 </v>
      </c>
    </row>
    <row r="4" spans="1:14" x14ac:dyDescent="0.25">
      <c r="A4" s="21" t="s">
        <v>2062</v>
      </c>
      <c r="B4" s="16" t="s">
        <v>2063</v>
      </c>
      <c r="C4" s="17">
        <v>1</v>
      </c>
      <c r="D4" s="22">
        <v>25.99</v>
      </c>
      <c r="E4" s="22">
        <v>25.99</v>
      </c>
      <c r="F4" s="17" t="s">
        <v>61</v>
      </c>
      <c r="G4" s="16" t="s">
        <v>31</v>
      </c>
      <c r="H4" s="21" t="s">
        <v>27</v>
      </c>
      <c r="I4" s="16" t="s">
        <v>11</v>
      </c>
      <c r="J4" s="16" t="s">
        <v>28</v>
      </c>
      <c r="K4" s="16" t="s">
        <v>29</v>
      </c>
      <c r="L4" s="16"/>
      <c r="M4" s="16"/>
      <c r="N4" s="23" t="str">
        <f>HYPERLINK("http://slimages.macys.com/is/image/MCY/18530208 ")</f>
        <v xml:space="preserve">http://slimages.macys.com/is/image/MCY/18530208 </v>
      </c>
    </row>
    <row r="5" spans="1:14" x14ac:dyDescent="0.25">
      <c r="A5" s="21" t="s">
        <v>2068</v>
      </c>
      <c r="B5" s="16" t="s">
        <v>2069</v>
      </c>
      <c r="C5" s="17">
        <v>2</v>
      </c>
      <c r="D5" s="22">
        <v>29.99</v>
      </c>
      <c r="E5" s="22">
        <v>59.98</v>
      </c>
      <c r="F5" s="17" t="s">
        <v>65</v>
      </c>
      <c r="G5" s="16" t="s">
        <v>31</v>
      </c>
      <c r="H5" s="21" t="s">
        <v>32</v>
      </c>
      <c r="I5" s="16" t="s">
        <v>11</v>
      </c>
      <c r="J5" s="16" t="s">
        <v>28</v>
      </c>
      <c r="K5" s="16" t="s">
        <v>29</v>
      </c>
      <c r="L5" s="16"/>
      <c r="M5" s="16"/>
      <c r="N5" s="23" t="str">
        <f>HYPERLINK("http://slimages.macys.com/is/image/MCY/18468745 ")</f>
        <v xml:space="preserve">http://slimages.macys.com/is/image/MCY/18468745 </v>
      </c>
    </row>
    <row r="6" spans="1:14" x14ac:dyDescent="0.25">
      <c r="A6" s="21" t="s">
        <v>63</v>
      </c>
      <c r="B6" s="16" t="s">
        <v>64</v>
      </c>
      <c r="C6" s="17">
        <v>3</v>
      </c>
      <c r="D6" s="22">
        <v>29.99</v>
      </c>
      <c r="E6" s="22">
        <v>89.97</v>
      </c>
      <c r="F6" s="17" t="s">
        <v>65</v>
      </c>
      <c r="G6" s="16" t="s">
        <v>31</v>
      </c>
      <c r="H6" s="21" t="s">
        <v>55</v>
      </c>
      <c r="I6" s="16" t="s">
        <v>11</v>
      </c>
      <c r="J6" s="16" t="s">
        <v>28</v>
      </c>
      <c r="K6" s="16" t="s">
        <v>29</v>
      </c>
      <c r="L6" s="16"/>
      <c r="M6" s="16"/>
      <c r="N6" s="23" t="str">
        <f>HYPERLINK("http://slimages.macys.com/is/image/MCY/18468745 ")</f>
        <v xml:space="preserve">http://slimages.macys.com/is/image/MCY/18468745 </v>
      </c>
    </row>
    <row r="7" spans="1:14" x14ac:dyDescent="0.25">
      <c r="A7" s="21" t="s">
        <v>2066</v>
      </c>
      <c r="B7" s="16" t="s">
        <v>2067</v>
      </c>
      <c r="C7" s="17">
        <v>2</v>
      </c>
      <c r="D7" s="22">
        <v>29.99</v>
      </c>
      <c r="E7" s="22">
        <v>59.98</v>
      </c>
      <c r="F7" s="17" t="s">
        <v>65</v>
      </c>
      <c r="G7" s="16" t="s">
        <v>31</v>
      </c>
      <c r="H7" s="21" t="s">
        <v>27</v>
      </c>
      <c r="I7" s="16" t="s">
        <v>11</v>
      </c>
      <c r="J7" s="16" t="s">
        <v>28</v>
      </c>
      <c r="K7" s="16" t="s">
        <v>29</v>
      </c>
      <c r="L7" s="16"/>
      <c r="M7" s="16"/>
      <c r="N7" s="23" t="str">
        <f>HYPERLINK("http://slimages.macys.com/is/image/MCY/18468745 ")</f>
        <v xml:space="preserve">http://slimages.macys.com/is/image/MCY/18468745 </v>
      </c>
    </row>
    <row r="8" spans="1:14" x14ac:dyDescent="0.25">
      <c r="A8" s="21" t="s">
        <v>1716</v>
      </c>
      <c r="B8" s="16" t="s">
        <v>1717</v>
      </c>
      <c r="C8" s="17">
        <v>1</v>
      </c>
      <c r="D8" s="22">
        <v>29.99</v>
      </c>
      <c r="E8" s="22">
        <v>29.99</v>
      </c>
      <c r="F8" s="17" t="s">
        <v>65</v>
      </c>
      <c r="G8" s="16" t="s">
        <v>31</v>
      </c>
      <c r="H8" s="21" t="s">
        <v>87</v>
      </c>
      <c r="I8" s="16" t="s">
        <v>11</v>
      </c>
      <c r="J8" s="16" t="s">
        <v>28</v>
      </c>
      <c r="K8" s="16" t="s">
        <v>29</v>
      </c>
      <c r="L8" s="16"/>
      <c r="M8" s="16"/>
      <c r="N8" s="23" t="str">
        <f>HYPERLINK("http://slimages.macys.com/is/image/MCY/18468745 ")</f>
        <v xml:space="preserve">http://slimages.macys.com/is/image/MCY/18468745 </v>
      </c>
    </row>
    <row r="9" spans="1:14" x14ac:dyDescent="0.25">
      <c r="A9" s="21" t="s">
        <v>2100</v>
      </c>
      <c r="B9" s="16" t="s">
        <v>2101</v>
      </c>
      <c r="C9" s="17">
        <v>1</v>
      </c>
      <c r="D9" s="22">
        <v>32.99</v>
      </c>
      <c r="E9" s="22">
        <v>32.99</v>
      </c>
      <c r="F9" s="17" t="s">
        <v>2102</v>
      </c>
      <c r="G9" s="16" t="s">
        <v>83</v>
      </c>
      <c r="H9" s="21" t="s">
        <v>87</v>
      </c>
      <c r="I9" s="16" t="s">
        <v>11</v>
      </c>
      <c r="J9" s="16" t="s">
        <v>28</v>
      </c>
      <c r="K9" s="16" t="s">
        <v>29</v>
      </c>
      <c r="L9" s="16"/>
      <c r="M9" s="16"/>
      <c r="N9" s="23" t="str">
        <f>HYPERLINK("http://slimages.macys.com/is/image/MCY/18826385 ")</f>
        <v xml:space="preserve">http://slimages.macys.com/is/image/MCY/18826385 </v>
      </c>
    </row>
    <row r="10" spans="1:14" x14ac:dyDescent="0.25">
      <c r="A10" s="21" t="s">
        <v>2095</v>
      </c>
      <c r="B10" s="16" t="s">
        <v>2096</v>
      </c>
      <c r="C10" s="17">
        <v>1</v>
      </c>
      <c r="D10" s="22">
        <v>32.99</v>
      </c>
      <c r="E10" s="22">
        <v>32.99</v>
      </c>
      <c r="F10" s="17" t="s">
        <v>2097</v>
      </c>
      <c r="G10" s="16" t="s">
        <v>488</v>
      </c>
      <c r="H10" s="21" t="s">
        <v>87</v>
      </c>
      <c r="I10" s="16" t="s">
        <v>11</v>
      </c>
      <c r="J10" s="16" t="s">
        <v>28</v>
      </c>
      <c r="K10" s="16" t="s">
        <v>29</v>
      </c>
      <c r="L10" s="16"/>
      <c r="M10" s="16"/>
      <c r="N10" s="23" t="str">
        <f>HYPERLINK("http://slimages.macys.com/is/image/MCY/20073686 ")</f>
        <v xml:space="preserve">http://slimages.macys.com/is/image/MCY/20073686 </v>
      </c>
    </row>
    <row r="11" spans="1:14" x14ac:dyDescent="0.25">
      <c r="A11" s="21" t="s">
        <v>1147</v>
      </c>
      <c r="B11" s="16" t="s">
        <v>1148</v>
      </c>
      <c r="C11" s="17">
        <v>1</v>
      </c>
      <c r="D11" s="22">
        <v>26.11</v>
      </c>
      <c r="E11" s="22">
        <v>26.11</v>
      </c>
      <c r="F11" s="17" t="s">
        <v>105</v>
      </c>
      <c r="G11" s="16" t="s">
        <v>62</v>
      </c>
      <c r="H11" s="21" t="s">
        <v>32</v>
      </c>
      <c r="I11" s="16" t="s">
        <v>11</v>
      </c>
      <c r="J11" s="16" t="s">
        <v>28</v>
      </c>
      <c r="K11" s="16" t="s">
        <v>29</v>
      </c>
      <c r="L11" s="16"/>
      <c r="M11" s="16"/>
      <c r="N11" s="23" t="str">
        <f>HYPERLINK("http://slimages.macys.com/is/image/MCY/19863901 ")</f>
        <v xml:space="preserve">http://slimages.macys.com/is/image/MCY/19863901 </v>
      </c>
    </row>
    <row r="12" spans="1:14" x14ac:dyDescent="0.25">
      <c r="A12" s="21" t="s">
        <v>2112</v>
      </c>
      <c r="B12" s="16" t="s">
        <v>2113</v>
      </c>
      <c r="C12" s="17">
        <v>1</v>
      </c>
      <c r="D12" s="22">
        <v>26.99</v>
      </c>
      <c r="E12" s="22">
        <v>26.99</v>
      </c>
      <c r="F12" s="17" t="s">
        <v>105</v>
      </c>
      <c r="G12" s="16" t="s">
        <v>62</v>
      </c>
      <c r="H12" s="21" t="s">
        <v>87</v>
      </c>
      <c r="I12" s="16" t="s">
        <v>11</v>
      </c>
      <c r="J12" s="16" t="s">
        <v>28</v>
      </c>
      <c r="K12" s="16" t="s">
        <v>29</v>
      </c>
      <c r="L12" s="16"/>
      <c r="M12" s="16"/>
      <c r="N12" s="23" t="str">
        <f>HYPERLINK("http://slimages.macys.com/is/image/MCY/19863901 ")</f>
        <v xml:space="preserve">http://slimages.macys.com/is/image/MCY/19863901 </v>
      </c>
    </row>
    <row r="13" spans="1:14" x14ac:dyDescent="0.25">
      <c r="A13" s="21" t="s">
        <v>2116</v>
      </c>
      <c r="B13" s="16" t="s">
        <v>2117</v>
      </c>
      <c r="C13" s="17">
        <v>1</v>
      </c>
      <c r="D13" s="22">
        <v>26.99</v>
      </c>
      <c r="E13" s="22">
        <v>26.99</v>
      </c>
      <c r="F13" s="17" t="s">
        <v>103</v>
      </c>
      <c r="G13" s="16" t="s">
        <v>104</v>
      </c>
      <c r="H13" s="21" t="s">
        <v>40</v>
      </c>
      <c r="I13" s="16" t="s">
        <v>11</v>
      </c>
      <c r="J13" s="16" t="s">
        <v>28</v>
      </c>
      <c r="K13" s="16" t="s">
        <v>29</v>
      </c>
      <c r="L13" s="16"/>
      <c r="M13" s="16"/>
      <c r="N13" s="23" t="str">
        <f>HYPERLINK("http://slimages.macys.com/is/image/MCY/19863901 ")</f>
        <v xml:space="preserve">http://slimages.macys.com/is/image/MCY/19863901 </v>
      </c>
    </row>
    <row r="14" spans="1:14" x14ac:dyDescent="0.25">
      <c r="A14" s="21" t="s">
        <v>2114</v>
      </c>
      <c r="B14" s="16" t="s">
        <v>2115</v>
      </c>
      <c r="C14" s="17">
        <v>3</v>
      </c>
      <c r="D14" s="22">
        <v>26.99</v>
      </c>
      <c r="E14" s="22">
        <v>80.97</v>
      </c>
      <c r="F14" s="17" t="s">
        <v>103</v>
      </c>
      <c r="G14" s="16" t="s">
        <v>104</v>
      </c>
      <c r="H14" s="21" t="s">
        <v>27</v>
      </c>
      <c r="I14" s="16" t="s">
        <v>11</v>
      </c>
      <c r="J14" s="16" t="s">
        <v>28</v>
      </c>
      <c r="K14" s="16" t="s">
        <v>29</v>
      </c>
      <c r="L14" s="16"/>
      <c r="M14" s="16"/>
      <c r="N14" s="23" t="str">
        <f>HYPERLINK("http://slimages.macys.com/is/image/MCY/19863901 ")</f>
        <v xml:space="preserve">http://slimages.macys.com/is/image/MCY/19863901 </v>
      </c>
    </row>
    <row r="15" spans="1:14" x14ac:dyDescent="0.25">
      <c r="A15" s="21" t="s">
        <v>33</v>
      </c>
      <c r="B15" s="16" t="s">
        <v>34</v>
      </c>
      <c r="C15" s="17">
        <v>1</v>
      </c>
      <c r="D15" s="22">
        <v>44.99</v>
      </c>
      <c r="E15" s="22">
        <v>44.99</v>
      </c>
      <c r="F15" s="17" t="s">
        <v>30</v>
      </c>
      <c r="G15" s="16" t="s">
        <v>31</v>
      </c>
      <c r="H15" s="21" t="s">
        <v>27</v>
      </c>
      <c r="I15" s="16" t="s">
        <v>11</v>
      </c>
      <c r="J15" s="16" t="s">
        <v>28</v>
      </c>
      <c r="K15" s="16" t="s">
        <v>29</v>
      </c>
      <c r="L15" s="16"/>
      <c r="M15" s="16"/>
      <c r="N15" s="23" t="str">
        <f t="shared" ref="N15:N20" si="0">HYPERLINK("http://slimages.macys.com/is/image/MCY/19661942 ")</f>
        <v xml:space="preserve">http://slimages.macys.com/is/image/MCY/19661942 </v>
      </c>
    </row>
    <row r="16" spans="1:14" x14ac:dyDescent="0.25">
      <c r="A16" s="21" t="s">
        <v>2053</v>
      </c>
      <c r="B16" s="16" t="s">
        <v>2054</v>
      </c>
      <c r="C16" s="17">
        <v>1</v>
      </c>
      <c r="D16" s="22">
        <v>44.99</v>
      </c>
      <c r="E16" s="22">
        <v>44.99</v>
      </c>
      <c r="F16" s="17" t="s">
        <v>30</v>
      </c>
      <c r="G16" s="16" t="s">
        <v>31</v>
      </c>
      <c r="H16" s="21" t="s">
        <v>87</v>
      </c>
      <c r="I16" s="16" t="s">
        <v>11</v>
      </c>
      <c r="J16" s="16" t="s">
        <v>28</v>
      </c>
      <c r="K16" s="16" t="s">
        <v>29</v>
      </c>
      <c r="L16" s="16"/>
      <c r="M16" s="16"/>
      <c r="N16" s="23" t="str">
        <f t="shared" si="0"/>
        <v xml:space="preserve">http://slimages.macys.com/is/image/MCY/19661942 </v>
      </c>
    </row>
    <row r="17" spans="1:14" x14ac:dyDescent="0.25">
      <c r="A17" s="21" t="s">
        <v>38</v>
      </c>
      <c r="B17" s="16" t="s">
        <v>39</v>
      </c>
      <c r="C17" s="17">
        <v>3</v>
      </c>
      <c r="D17" s="22">
        <v>26.11</v>
      </c>
      <c r="E17" s="22">
        <v>78.33</v>
      </c>
      <c r="F17" s="17" t="s">
        <v>30</v>
      </c>
      <c r="G17" s="16" t="s">
        <v>37</v>
      </c>
      <c r="H17" s="21" t="s">
        <v>40</v>
      </c>
      <c r="I17" s="16" t="s">
        <v>11</v>
      </c>
      <c r="J17" s="16" t="s">
        <v>28</v>
      </c>
      <c r="K17" s="16" t="s">
        <v>29</v>
      </c>
      <c r="L17" s="16"/>
      <c r="M17" s="16"/>
      <c r="N17" s="23" t="str">
        <f t="shared" si="0"/>
        <v xml:space="preserve">http://slimages.macys.com/is/image/MCY/19661942 </v>
      </c>
    </row>
    <row r="18" spans="1:14" x14ac:dyDescent="0.25">
      <c r="A18" s="21" t="s">
        <v>35</v>
      </c>
      <c r="B18" s="16" t="s">
        <v>36</v>
      </c>
      <c r="C18" s="17">
        <v>2</v>
      </c>
      <c r="D18" s="22">
        <v>44.99</v>
      </c>
      <c r="E18" s="22">
        <v>89.98</v>
      </c>
      <c r="F18" s="17" t="s">
        <v>30</v>
      </c>
      <c r="G18" s="16" t="s">
        <v>37</v>
      </c>
      <c r="H18" s="21" t="s">
        <v>27</v>
      </c>
      <c r="I18" s="16" t="s">
        <v>11</v>
      </c>
      <c r="J18" s="16" t="s">
        <v>28</v>
      </c>
      <c r="K18" s="16" t="s">
        <v>29</v>
      </c>
      <c r="L18" s="16"/>
      <c r="M18" s="16"/>
      <c r="N18" s="23" t="str">
        <f t="shared" si="0"/>
        <v xml:space="preserve">http://slimages.macys.com/is/image/MCY/19661942 </v>
      </c>
    </row>
    <row r="19" spans="1:14" x14ac:dyDescent="0.25">
      <c r="A19" s="21" t="s">
        <v>2051</v>
      </c>
      <c r="B19" s="16" t="s">
        <v>2052</v>
      </c>
      <c r="C19" s="17">
        <v>1</v>
      </c>
      <c r="D19" s="22">
        <v>44.99</v>
      </c>
      <c r="E19" s="22">
        <v>44.99</v>
      </c>
      <c r="F19" s="17" t="s">
        <v>30</v>
      </c>
      <c r="G19" s="16" t="s">
        <v>37</v>
      </c>
      <c r="H19" s="21" t="s">
        <v>47</v>
      </c>
      <c r="I19" s="16" t="s">
        <v>11</v>
      </c>
      <c r="J19" s="16" t="s">
        <v>28</v>
      </c>
      <c r="K19" s="16" t="s">
        <v>29</v>
      </c>
      <c r="L19" s="16"/>
      <c r="M19" s="16"/>
      <c r="N19" s="23" t="str">
        <f t="shared" si="0"/>
        <v xml:space="preserve">http://slimages.macys.com/is/image/MCY/19661942 </v>
      </c>
    </row>
    <row r="20" spans="1:14" x14ac:dyDescent="0.25">
      <c r="A20" s="21" t="s">
        <v>1653</v>
      </c>
      <c r="B20" s="16" t="s">
        <v>2055</v>
      </c>
      <c r="C20" s="17">
        <v>1</v>
      </c>
      <c r="D20" s="22">
        <v>44.99</v>
      </c>
      <c r="E20" s="22">
        <v>44.99</v>
      </c>
      <c r="F20" s="17" t="s">
        <v>30</v>
      </c>
      <c r="G20" s="16" t="s">
        <v>37</v>
      </c>
      <c r="H20" s="21" t="s">
        <v>87</v>
      </c>
      <c r="I20" s="16" t="s">
        <v>11</v>
      </c>
      <c r="J20" s="16" t="s">
        <v>28</v>
      </c>
      <c r="K20" s="16" t="s">
        <v>29</v>
      </c>
      <c r="L20" s="16"/>
      <c r="M20" s="16"/>
      <c r="N20" s="23" t="str">
        <f t="shared" si="0"/>
        <v xml:space="preserve">http://slimages.macys.com/is/image/MCY/19661942 </v>
      </c>
    </row>
    <row r="21" spans="1:14" x14ac:dyDescent="0.25">
      <c r="A21" s="21" t="s">
        <v>2103</v>
      </c>
      <c r="B21" s="16" t="s">
        <v>2104</v>
      </c>
      <c r="C21" s="17">
        <v>1</v>
      </c>
      <c r="D21" s="22">
        <v>27.99</v>
      </c>
      <c r="E21" s="22">
        <v>27.99</v>
      </c>
      <c r="F21" s="17" t="s">
        <v>589</v>
      </c>
      <c r="G21" s="16" t="s">
        <v>44</v>
      </c>
      <c r="H21" s="21" t="s">
        <v>40</v>
      </c>
      <c r="I21" s="16" t="s">
        <v>11</v>
      </c>
      <c r="J21" s="16" t="s">
        <v>28</v>
      </c>
      <c r="K21" s="16" t="s">
        <v>29</v>
      </c>
      <c r="L21" s="16"/>
      <c r="M21" s="16"/>
      <c r="N21" s="23" t="str">
        <f>HYPERLINK("http://slimages.macys.com/is/image/MCY/19331857 ")</f>
        <v xml:space="preserve">http://slimages.macys.com/is/image/MCY/19331857 </v>
      </c>
    </row>
    <row r="22" spans="1:14" x14ac:dyDescent="0.25">
      <c r="A22" s="21" t="s">
        <v>2057</v>
      </c>
      <c r="B22" s="16" t="s">
        <v>2058</v>
      </c>
      <c r="C22" s="17">
        <v>1</v>
      </c>
      <c r="D22" s="22">
        <v>34.99</v>
      </c>
      <c r="E22" s="22">
        <v>34.99</v>
      </c>
      <c r="F22" s="17" t="s">
        <v>52</v>
      </c>
      <c r="G22" s="16" t="s">
        <v>31</v>
      </c>
      <c r="H22" s="21" t="s">
        <v>40</v>
      </c>
      <c r="I22" s="16" t="s">
        <v>11</v>
      </c>
      <c r="J22" s="16" t="s">
        <v>28</v>
      </c>
      <c r="K22" s="16" t="s">
        <v>29</v>
      </c>
      <c r="L22" s="16"/>
      <c r="M22" s="16"/>
      <c r="N22" s="23" t="str">
        <f>HYPERLINK("http://slimages.macys.com/is/image/MCY/18574724 ")</f>
        <v xml:space="preserve">http://slimages.macys.com/is/image/MCY/18574724 </v>
      </c>
    </row>
    <row r="23" spans="1:14" x14ac:dyDescent="0.25">
      <c r="A23" s="21" t="s">
        <v>53</v>
      </c>
      <c r="B23" s="16" t="s">
        <v>54</v>
      </c>
      <c r="C23" s="17">
        <v>1</v>
      </c>
      <c r="D23" s="22">
        <v>34.99</v>
      </c>
      <c r="E23" s="22">
        <v>34.99</v>
      </c>
      <c r="F23" s="17" t="s">
        <v>52</v>
      </c>
      <c r="G23" s="16" t="s">
        <v>31</v>
      </c>
      <c r="H23" s="21" t="s">
        <v>55</v>
      </c>
      <c r="I23" s="16" t="s">
        <v>11</v>
      </c>
      <c r="J23" s="16" t="s">
        <v>28</v>
      </c>
      <c r="K23" s="16" t="s">
        <v>29</v>
      </c>
      <c r="L23" s="16"/>
      <c r="M23" s="16"/>
      <c r="N23" s="23" t="str">
        <f>HYPERLINK("http://slimages.macys.com/is/image/MCY/18574724 ")</f>
        <v xml:space="preserve">http://slimages.macys.com/is/image/MCY/18574724 </v>
      </c>
    </row>
    <row r="24" spans="1:14" x14ac:dyDescent="0.25">
      <c r="A24" s="21" t="s">
        <v>899</v>
      </c>
      <c r="B24" s="16" t="s">
        <v>900</v>
      </c>
      <c r="C24" s="17">
        <v>1</v>
      </c>
      <c r="D24" s="22">
        <v>34.99</v>
      </c>
      <c r="E24" s="22">
        <v>34.99</v>
      </c>
      <c r="F24" s="17" t="s">
        <v>52</v>
      </c>
      <c r="G24" s="16" t="s">
        <v>31</v>
      </c>
      <c r="H24" s="21" t="s">
        <v>87</v>
      </c>
      <c r="I24" s="16" t="s">
        <v>11</v>
      </c>
      <c r="J24" s="16" t="s">
        <v>28</v>
      </c>
      <c r="K24" s="16" t="s">
        <v>29</v>
      </c>
      <c r="L24" s="16"/>
      <c r="M24" s="16"/>
      <c r="N24" s="23" t="str">
        <f>HYPERLINK("http://slimages.macys.com/is/image/MCY/18574725 ")</f>
        <v xml:space="preserve">http://slimages.macys.com/is/image/MCY/18574725 </v>
      </c>
    </row>
    <row r="25" spans="1:14" x14ac:dyDescent="0.25">
      <c r="A25" s="21" t="s">
        <v>2093</v>
      </c>
      <c r="B25" s="16" t="s">
        <v>2094</v>
      </c>
      <c r="C25" s="17">
        <v>1</v>
      </c>
      <c r="D25" s="22">
        <v>34.99</v>
      </c>
      <c r="E25" s="22">
        <v>34.99</v>
      </c>
      <c r="F25" s="17" t="s">
        <v>52</v>
      </c>
      <c r="G25" s="16" t="s">
        <v>120</v>
      </c>
      <c r="H25" s="21" t="s">
        <v>47</v>
      </c>
      <c r="I25" s="16" t="s">
        <v>11</v>
      </c>
      <c r="J25" s="16" t="s">
        <v>28</v>
      </c>
      <c r="K25" s="16" t="s">
        <v>29</v>
      </c>
      <c r="L25" s="16"/>
      <c r="M25" s="16"/>
      <c r="N25" s="23" t="str">
        <f>HYPERLINK("http://slimages.macys.com/is/image/MCY/18742971 ")</f>
        <v xml:space="preserve">http://slimages.macys.com/is/image/MCY/18742971 </v>
      </c>
    </row>
    <row r="26" spans="1:14" x14ac:dyDescent="0.25">
      <c r="A26" s="21" t="s">
        <v>48</v>
      </c>
      <c r="B26" s="16" t="s">
        <v>49</v>
      </c>
      <c r="C26" s="17">
        <v>1</v>
      </c>
      <c r="D26" s="22">
        <v>34.99</v>
      </c>
      <c r="E26" s="22">
        <v>34.99</v>
      </c>
      <c r="F26" s="17" t="s">
        <v>43</v>
      </c>
      <c r="G26" s="16" t="s">
        <v>44</v>
      </c>
      <c r="H26" s="21" t="s">
        <v>32</v>
      </c>
      <c r="I26" s="16" t="s">
        <v>11</v>
      </c>
      <c r="J26" s="16" t="s">
        <v>28</v>
      </c>
      <c r="K26" s="16" t="s">
        <v>29</v>
      </c>
      <c r="L26" s="16"/>
      <c r="M26" s="16"/>
      <c r="N26" s="23" t="str">
        <f>HYPERLINK("http://slimages.macys.com/is/image/MCY/18574724 ")</f>
        <v xml:space="preserve">http://slimages.macys.com/is/image/MCY/18574724 </v>
      </c>
    </row>
    <row r="27" spans="1:14" x14ac:dyDescent="0.25">
      <c r="A27" s="21" t="s">
        <v>41</v>
      </c>
      <c r="B27" s="16" t="s">
        <v>42</v>
      </c>
      <c r="C27" s="17">
        <v>6</v>
      </c>
      <c r="D27" s="22">
        <v>34.99</v>
      </c>
      <c r="E27" s="22">
        <v>209.94</v>
      </c>
      <c r="F27" s="17" t="s">
        <v>43</v>
      </c>
      <c r="G27" s="16" t="s">
        <v>44</v>
      </c>
      <c r="H27" s="21" t="s">
        <v>40</v>
      </c>
      <c r="I27" s="16" t="s">
        <v>11</v>
      </c>
      <c r="J27" s="16" t="s">
        <v>28</v>
      </c>
      <c r="K27" s="16" t="s">
        <v>29</v>
      </c>
      <c r="L27" s="16"/>
      <c r="M27" s="16"/>
      <c r="N27" s="23" t="str">
        <f>HYPERLINK("http://slimages.macys.com/is/image/MCY/18574724 ")</f>
        <v xml:space="preserve">http://slimages.macys.com/is/image/MCY/18574724 </v>
      </c>
    </row>
    <row r="28" spans="1:14" x14ac:dyDescent="0.25">
      <c r="A28" s="21" t="s">
        <v>566</v>
      </c>
      <c r="B28" s="16" t="s">
        <v>567</v>
      </c>
      <c r="C28" s="17">
        <v>2</v>
      </c>
      <c r="D28" s="22">
        <v>34.99</v>
      </c>
      <c r="E28" s="22">
        <v>69.98</v>
      </c>
      <c r="F28" s="17" t="s">
        <v>43</v>
      </c>
      <c r="G28" s="16" t="s">
        <v>44</v>
      </c>
      <c r="H28" s="21" t="s">
        <v>55</v>
      </c>
      <c r="I28" s="16" t="s">
        <v>11</v>
      </c>
      <c r="J28" s="16" t="s">
        <v>28</v>
      </c>
      <c r="K28" s="16" t="s">
        <v>29</v>
      </c>
      <c r="L28" s="16"/>
      <c r="M28" s="16"/>
      <c r="N28" s="23" t="str">
        <f>HYPERLINK("http://slimages.macys.com/is/image/MCY/18574724 ")</f>
        <v xml:space="preserve">http://slimages.macys.com/is/image/MCY/18574724 </v>
      </c>
    </row>
    <row r="29" spans="1:14" x14ac:dyDescent="0.25">
      <c r="A29" s="21" t="s">
        <v>1124</v>
      </c>
      <c r="B29" s="16" t="s">
        <v>1125</v>
      </c>
      <c r="C29" s="17">
        <v>3</v>
      </c>
      <c r="D29" s="22">
        <v>34.99</v>
      </c>
      <c r="E29" s="22">
        <v>104.97</v>
      </c>
      <c r="F29" s="17" t="s">
        <v>43</v>
      </c>
      <c r="G29" s="16" t="s">
        <v>44</v>
      </c>
      <c r="H29" s="21" t="s">
        <v>27</v>
      </c>
      <c r="I29" s="16" t="s">
        <v>11</v>
      </c>
      <c r="J29" s="16" t="s">
        <v>28</v>
      </c>
      <c r="K29" s="16" t="s">
        <v>29</v>
      </c>
      <c r="L29" s="16"/>
      <c r="M29" s="16"/>
      <c r="N29" s="23" t="str">
        <f>HYPERLINK("http://slimages.macys.com/is/image/MCY/18574724 ")</f>
        <v xml:space="preserve">http://slimages.macys.com/is/image/MCY/18574724 </v>
      </c>
    </row>
    <row r="30" spans="1:14" x14ac:dyDescent="0.25">
      <c r="A30" s="21" t="s">
        <v>45</v>
      </c>
      <c r="B30" s="16" t="s">
        <v>46</v>
      </c>
      <c r="C30" s="17">
        <v>1</v>
      </c>
      <c r="D30" s="22">
        <v>34.99</v>
      </c>
      <c r="E30" s="22">
        <v>34.99</v>
      </c>
      <c r="F30" s="17" t="s">
        <v>43</v>
      </c>
      <c r="G30" s="16" t="s">
        <v>44</v>
      </c>
      <c r="H30" s="21" t="s">
        <v>47</v>
      </c>
      <c r="I30" s="16" t="s">
        <v>11</v>
      </c>
      <c r="J30" s="16" t="s">
        <v>28</v>
      </c>
      <c r="K30" s="16" t="s">
        <v>29</v>
      </c>
      <c r="L30" s="16"/>
      <c r="M30" s="16"/>
      <c r="N30" s="23" t="str">
        <f>HYPERLINK("http://slimages.macys.com/is/image/MCY/18742971 ")</f>
        <v xml:space="preserve">http://slimages.macys.com/is/image/MCY/18742971 </v>
      </c>
    </row>
    <row r="31" spans="1:14" x14ac:dyDescent="0.25">
      <c r="A31" s="21" t="s">
        <v>897</v>
      </c>
      <c r="B31" s="16" t="s">
        <v>898</v>
      </c>
      <c r="C31" s="17">
        <v>3</v>
      </c>
      <c r="D31" s="22">
        <v>34.99</v>
      </c>
      <c r="E31" s="22">
        <v>104.97</v>
      </c>
      <c r="F31" s="17" t="s">
        <v>43</v>
      </c>
      <c r="G31" s="16" t="s">
        <v>44</v>
      </c>
      <c r="H31" s="21" t="s">
        <v>87</v>
      </c>
      <c r="I31" s="16" t="s">
        <v>11</v>
      </c>
      <c r="J31" s="16" t="s">
        <v>28</v>
      </c>
      <c r="K31" s="16" t="s">
        <v>29</v>
      </c>
      <c r="L31" s="16"/>
      <c r="M31" s="16"/>
      <c r="N31" s="23" t="str">
        <f>HYPERLINK("http://slimages.macys.com/is/image/MCY/18574725 ")</f>
        <v xml:space="preserve">http://slimages.macys.com/is/image/MCY/18574725 </v>
      </c>
    </row>
    <row r="32" spans="1:14" x14ac:dyDescent="0.25">
      <c r="A32" s="21" t="s">
        <v>1139</v>
      </c>
      <c r="B32" s="16" t="s">
        <v>1140</v>
      </c>
      <c r="C32" s="17">
        <v>2</v>
      </c>
      <c r="D32" s="22">
        <v>34.99</v>
      </c>
      <c r="E32" s="22">
        <v>69.98</v>
      </c>
      <c r="F32" s="17" t="s">
        <v>52</v>
      </c>
      <c r="G32" s="16" t="s">
        <v>82</v>
      </c>
      <c r="H32" s="21" t="s">
        <v>32</v>
      </c>
      <c r="I32" s="16" t="s">
        <v>11</v>
      </c>
      <c r="J32" s="16" t="s">
        <v>28</v>
      </c>
      <c r="K32" s="16" t="s">
        <v>29</v>
      </c>
      <c r="L32" s="16"/>
      <c r="M32" s="16"/>
      <c r="N32" s="23" t="str">
        <f>HYPERLINK("http://slimages.macys.com/is/image/MCY/18742971 ")</f>
        <v xml:space="preserve">http://slimages.macys.com/is/image/MCY/18742971 </v>
      </c>
    </row>
    <row r="33" spans="1:14" x14ac:dyDescent="0.25">
      <c r="A33" s="21" t="s">
        <v>99</v>
      </c>
      <c r="B33" s="16" t="s">
        <v>100</v>
      </c>
      <c r="C33" s="17">
        <v>2</v>
      </c>
      <c r="D33" s="22">
        <v>34.99</v>
      </c>
      <c r="E33" s="22">
        <v>69.98</v>
      </c>
      <c r="F33" s="17" t="s">
        <v>52</v>
      </c>
      <c r="G33" s="16" t="s">
        <v>82</v>
      </c>
      <c r="H33" s="21" t="s">
        <v>40</v>
      </c>
      <c r="I33" s="16" t="s">
        <v>11</v>
      </c>
      <c r="J33" s="16" t="s">
        <v>28</v>
      </c>
      <c r="K33" s="16" t="s">
        <v>29</v>
      </c>
      <c r="L33" s="16"/>
      <c r="M33" s="16"/>
      <c r="N33" s="23" t="str">
        <f>HYPERLINK("http://slimages.macys.com/is/image/MCY/18742971 ")</f>
        <v xml:space="preserve">http://slimages.macys.com/is/image/MCY/18742971 </v>
      </c>
    </row>
    <row r="34" spans="1:14" x14ac:dyDescent="0.25">
      <c r="A34" s="21" t="s">
        <v>2108</v>
      </c>
      <c r="B34" s="16" t="s">
        <v>2109</v>
      </c>
      <c r="C34" s="17">
        <v>1</v>
      </c>
      <c r="D34" s="22">
        <v>36.99</v>
      </c>
      <c r="E34" s="22">
        <v>36.99</v>
      </c>
      <c r="F34" s="17" t="s">
        <v>922</v>
      </c>
      <c r="G34" s="16" t="s">
        <v>76</v>
      </c>
      <c r="H34" s="21" t="s">
        <v>27</v>
      </c>
      <c r="I34" s="16" t="s">
        <v>11</v>
      </c>
      <c r="J34" s="16" t="s">
        <v>28</v>
      </c>
      <c r="K34" s="16" t="s">
        <v>29</v>
      </c>
      <c r="L34" s="16"/>
      <c r="M34" s="16"/>
      <c r="N34" s="23" t="str">
        <f>HYPERLINK("http://slimages.macys.com/is/image/MCY/18951400 ")</f>
        <v xml:space="preserve">http://slimages.macys.com/is/image/MCY/18951400 </v>
      </c>
    </row>
    <row r="35" spans="1:14" x14ac:dyDescent="0.25">
      <c r="A35" s="21" t="s">
        <v>2098</v>
      </c>
      <c r="B35" s="16" t="s">
        <v>2099</v>
      </c>
      <c r="C35" s="17">
        <v>1</v>
      </c>
      <c r="D35" s="22">
        <v>36.99</v>
      </c>
      <c r="E35" s="22">
        <v>36.99</v>
      </c>
      <c r="F35" s="17" t="s">
        <v>921</v>
      </c>
      <c r="G35" s="16" t="s">
        <v>488</v>
      </c>
      <c r="H35" s="21" t="s">
        <v>55</v>
      </c>
      <c r="I35" s="16" t="s">
        <v>11</v>
      </c>
      <c r="J35" s="16" t="s">
        <v>28</v>
      </c>
      <c r="K35" s="16" t="s">
        <v>29</v>
      </c>
      <c r="L35" s="16"/>
      <c r="M35" s="16"/>
      <c r="N35" s="23" t="str">
        <f>HYPERLINK("http://slimages.macys.com/is/image/MCY/17387135 ")</f>
        <v xml:space="preserve">http://slimages.macys.com/is/image/MCY/17387135 </v>
      </c>
    </row>
    <row r="36" spans="1:14" x14ac:dyDescent="0.25">
      <c r="A36" s="21" t="s">
        <v>919</v>
      </c>
      <c r="B36" s="16" t="s">
        <v>920</v>
      </c>
      <c r="C36" s="17">
        <v>1</v>
      </c>
      <c r="D36" s="22">
        <v>36.99</v>
      </c>
      <c r="E36" s="22">
        <v>36.99</v>
      </c>
      <c r="F36" s="17" t="s">
        <v>921</v>
      </c>
      <c r="G36" s="16" t="s">
        <v>488</v>
      </c>
      <c r="H36" s="21" t="s">
        <v>47</v>
      </c>
      <c r="I36" s="16" t="s">
        <v>11</v>
      </c>
      <c r="J36" s="16" t="s">
        <v>28</v>
      </c>
      <c r="K36" s="16" t="s">
        <v>29</v>
      </c>
      <c r="L36" s="16"/>
      <c r="M36" s="16"/>
      <c r="N36" s="23" t="str">
        <f>HYPERLINK("http://slimages.macys.com/is/image/MCY/17387135 ")</f>
        <v xml:space="preserve">http://slimages.macys.com/is/image/MCY/17387135 </v>
      </c>
    </row>
    <row r="37" spans="1:14" x14ac:dyDescent="0.25">
      <c r="A37" s="21" t="s">
        <v>2128</v>
      </c>
      <c r="B37" s="16" t="s">
        <v>2129</v>
      </c>
      <c r="C37" s="17">
        <v>1</v>
      </c>
      <c r="D37" s="22">
        <v>21.99</v>
      </c>
      <c r="E37" s="22">
        <v>21.99</v>
      </c>
      <c r="F37" s="17" t="s">
        <v>600</v>
      </c>
      <c r="G37" s="16" t="s">
        <v>82</v>
      </c>
      <c r="H37" s="21" t="s">
        <v>40</v>
      </c>
      <c r="I37" s="16" t="s">
        <v>11</v>
      </c>
      <c r="J37" s="16" t="s">
        <v>28</v>
      </c>
      <c r="K37" s="16" t="s">
        <v>29</v>
      </c>
      <c r="L37" s="16"/>
      <c r="M37" s="16"/>
      <c r="N37" s="23" t="str">
        <f>HYPERLINK("http://slimages.macys.com/is/image/MCY/19701310 ")</f>
        <v xml:space="preserve">http://slimages.macys.com/is/image/MCY/19701310 </v>
      </c>
    </row>
    <row r="38" spans="1:14" x14ac:dyDescent="0.25">
      <c r="A38" s="21" t="s">
        <v>927</v>
      </c>
      <c r="B38" s="16" t="s">
        <v>928</v>
      </c>
      <c r="C38" s="17">
        <v>1</v>
      </c>
      <c r="D38" s="22">
        <v>21.99</v>
      </c>
      <c r="E38" s="22">
        <v>21.99</v>
      </c>
      <c r="F38" s="17" t="s">
        <v>600</v>
      </c>
      <c r="G38" s="16" t="s">
        <v>82</v>
      </c>
      <c r="H38" s="21" t="s">
        <v>87</v>
      </c>
      <c r="I38" s="16" t="s">
        <v>11</v>
      </c>
      <c r="J38" s="16" t="s">
        <v>28</v>
      </c>
      <c r="K38" s="16" t="s">
        <v>29</v>
      </c>
      <c r="L38" s="16"/>
      <c r="M38" s="16"/>
      <c r="N38" s="23" t="str">
        <f>HYPERLINK("http://slimages.macys.com/is/image/MCY/19701310 ")</f>
        <v xml:space="preserve">http://slimages.macys.com/is/image/MCY/19701310 </v>
      </c>
    </row>
    <row r="39" spans="1:14" x14ac:dyDescent="0.25">
      <c r="A39" s="21" t="s">
        <v>2082</v>
      </c>
      <c r="B39" s="16" t="s">
        <v>2083</v>
      </c>
      <c r="C39" s="17">
        <v>1</v>
      </c>
      <c r="D39" s="22">
        <v>42.99</v>
      </c>
      <c r="E39" s="22">
        <v>42.99</v>
      </c>
      <c r="F39" s="17" t="s">
        <v>84</v>
      </c>
      <c r="G39" s="16" t="s">
        <v>85</v>
      </c>
      <c r="H39" s="21" t="s">
        <v>40</v>
      </c>
      <c r="I39" s="16" t="s">
        <v>11</v>
      </c>
      <c r="J39" s="16" t="s">
        <v>28</v>
      </c>
      <c r="K39" s="16" t="s">
        <v>29</v>
      </c>
      <c r="L39" s="16"/>
      <c r="M39" s="16"/>
      <c r="N39" s="23" t="str">
        <f>HYPERLINK("http://slimages.macys.com/is/image/MCY/18468765 ")</f>
        <v xml:space="preserve">http://slimages.macys.com/is/image/MCY/18468765 </v>
      </c>
    </row>
    <row r="40" spans="1:14" x14ac:dyDescent="0.25">
      <c r="A40" s="21" t="s">
        <v>2080</v>
      </c>
      <c r="B40" s="16" t="s">
        <v>2081</v>
      </c>
      <c r="C40" s="17">
        <v>1</v>
      </c>
      <c r="D40" s="22">
        <v>42.99</v>
      </c>
      <c r="E40" s="22">
        <v>42.99</v>
      </c>
      <c r="F40" s="17" t="s">
        <v>84</v>
      </c>
      <c r="G40" s="16" t="s">
        <v>85</v>
      </c>
      <c r="H40" s="21" t="s">
        <v>47</v>
      </c>
      <c r="I40" s="16" t="s">
        <v>11</v>
      </c>
      <c r="J40" s="16" t="s">
        <v>28</v>
      </c>
      <c r="K40" s="16" t="s">
        <v>29</v>
      </c>
      <c r="L40" s="16"/>
      <c r="M40" s="16"/>
      <c r="N40" s="23" t="str">
        <f>HYPERLINK("http://slimages.macys.com/is/image/MCY/19217453 ")</f>
        <v xml:space="preserve">http://slimages.macys.com/is/image/MCY/19217453 </v>
      </c>
    </row>
    <row r="41" spans="1:14" x14ac:dyDescent="0.25">
      <c r="A41" s="21" t="s">
        <v>581</v>
      </c>
      <c r="B41" s="16" t="s">
        <v>582</v>
      </c>
      <c r="C41" s="17">
        <v>1</v>
      </c>
      <c r="D41" s="22">
        <v>49.99</v>
      </c>
      <c r="E41" s="22">
        <v>49.99</v>
      </c>
      <c r="F41" s="17" t="s">
        <v>81</v>
      </c>
      <c r="G41" s="16" t="s">
        <v>31</v>
      </c>
      <c r="H41" s="21" t="s">
        <v>55</v>
      </c>
      <c r="I41" s="16" t="s">
        <v>11</v>
      </c>
      <c r="J41" s="16" t="s">
        <v>28</v>
      </c>
      <c r="K41" s="16" t="s">
        <v>29</v>
      </c>
      <c r="L41" s="16"/>
      <c r="M41" s="16"/>
      <c r="N41" s="23" t="str">
        <f>HYPERLINK("http://slimages.macys.com/is/image/MCY/19339137 ")</f>
        <v xml:space="preserve">http://slimages.macys.com/is/image/MCY/19339137 </v>
      </c>
    </row>
    <row r="42" spans="1:14" x14ac:dyDescent="0.25">
      <c r="A42" s="21" t="s">
        <v>2078</v>
      </c>
      <c r="B42" s="16" t="s">
        <v>2079</v>
      </c>
      <c r="C42" s="17">
        <v>1</v>
      </c>
      <c r="D42" s="22">
        <v>49.99</v>
      </c>
      <c r="E42" s="22">
        <v>49.99</v>
      </c>
      <c r="F42" s="17" t="s">
        <v>81</v>
      </c>
      <c r="G42" s="16" t="s">
        <v>82</v>
      </c>
      <c r="H42" s="21" t="s">
        <v>27</v>
      </c>
      <c r="I42" s="16" t="s">
        <v>11</v>
      </c>
      <c r="J42" s="16" t="s">
        <v>28</v>
      </c>
      <c r="K42" s="16" t="s">
        <v>29</v>
      </c>
      <c r="L42" s="16"/>
      <c r="M42" s="16"/>
      <c r="N42" s="23" t="str">
        <f>HYPERLINK("http://slimages.macys.com/is/image/MCY/19339137 ")</f>
        <v xml:space="preserve">http://slimages.macys.com/is/image/MCY/19339137 </v>
      </c>
    </row>
    <row r="43" spans="1:14" x14ac:dyDescent="0.25">
      <c r="A43" s="21" t="s">
        <v>2059</v>
      </c>
      <c r="B43" s="16" t="s">
        <v>2060</v>
      </c>
      <c r="C43" s="17">
        <v>1</v>
      </c>
      <c r="D43" s="22">
        <v>59.99</v>
      </c>
      <c r="E43" s="22">
        <v>59.99</v>
      </c>
      <c r="F43" s="17" t="s">
        <v>2061</v>
      </c>
      <c r="G43" s="16" t="s">
        <v>44</v>
      </c>
      <c r="H43" s="21" t="s">
        <v>27</v>
      </c>
      <c r="I43" s="16" t="s">
        <v>11</v>
      </c>
      <c r="J43" s="16" t="s">
        <v>28</v>
      </c>
      <c r="K43" s="16" t="s">
        <v>29</v>
      </c>
      <c r="L43" s="16"/>
      <c r="M43" s="16"/>
      <c r="N43" s="23" t="str">
        <f>HYPERLINK("http://slimages.macys.com/is/image/MCY/18201709 ")</f>
        <v xml:space="preserve">http://slimages.macys.com/is/image/MCY/18201709 </v>
      </c>
    </row>
    <row r="44" spans="1:14" x14ac:dyDescent="0.25">
      <c r="A44" s="21" t="s">
        <v>2088</v>
      </c>
      <c r="B44" s="16" t="s">
        <v>2089</v>
      </c>
      <c r="C44" s="17">
        <v>1</v>
      </c>
      <c r="D44" s="22">
        <v>36.99</v>
      </c>
      <c r="E44" s="22">
        <v>36.99</v>
      </c>
      <c r="F44" s="17" t="s">
        <v>95</v>
      </c>
      <c r="G44" s="16" t="s">
        <v>86</v>
      </c>
      <c r="H44" s="21" t="s">
        <v>55</v>
      </c>
      <c r="I44" s="16" t="s">
        <v>11</v>
      </c>
      <c r="J44" s="16" t="s">
        <v>28</v>
      </c>
      <c r="K44" s="16" t="s">
        <v>29</v>
      </c>
      <c r="L44" s="16"/>
      <c r="M44" s="16"/>
      <c r="N44" s="23" t="str">
        <f>HYPERLINK("http://slimages.macys.com/is/image/MCY/18468763 ")</f>
        <v xml:space="preserve">http://slimages.macys.com/is/image/MCY/18468763 </v>
      </c>
    </row>
    <row r="45" spans="1:14" x14ac:dyDescent="0.25">
      <c r="A45" s="21" t="s">
        <v>2090</v>
      </c>
      <c r="B45" s="16" t="s">
        <v>2091</v>
      </c>
      <c r="C45" s="17">
        <v>2</v>
      </c>
      <c r="D45" s="22">
        <v>36.99</v>
      </c>
      <c r="E45" s="22">
        <v>73.98</v>
      </c>
      <c r="F45" s="17" t="s">
        <v>2092</v>
      </c>
      <c r="G45" s="16" t="s">
        <v>122</v>
      </c>
      <c r="H45" s="21" t="s">
        <v>40</v>
      </c>
      <c r="I45" s="16" t="s">
        <v>11</v>
      </c>
      <c r="J45" s="16" t="s">
        <v>28</v>
      </c>
      <c r="K45" s="16" t="s">
        <v>29</v>
      </c>
      <c r="L45" s="16"/>
      <c r="M45" s="16"/>
      <c r="N45" s="23" t="str">
        <f>HYPERLINK("http://slimages.macys.com/is/image/MCY/18682567 ")</f>
        <v xml:space="preserve">http://slimages.macys.com/is/image/MCY/18682567 </v>
      </c>
    </row>
    <row r="46" spans="1:14" x14ac:dyDescent="0.25">
      <c r="A46" s="21" t="s">
        <v>1848</v>
      </c>
      <c r="B46" s="16" t="s">
        <v>1849</v>
      </c>
      <c r="C46" s="17">
        <v>1</v>
      </c>
      <c r="D46" s="22">
        <v>39.99</v>
      </c>
      <c r="E46" s="22">
        <v>39.99</v>
      </c>
      <c r="F46" s="17" t="s">
        <v>1413</v>
      </c>
      <c r="G46" s="16" t="s">
        <v>488</v>
      </c>
      <c r="H46" s="21" t="s">
        <v>158</v>
      </c>
      <c r="I46" s="16" t="s">
        <v>11</v>
      </c>
      <c r="J46" s="16" t="s">
        <v>28</v>
      </c>
      <c r="K46" s="16" t="s">
        <v>29</v>
      </c>
      <c r="L46" s="16"/>
      <c r="M46" s="16"/>
      <c r="N46" s="23" t="str">
        <f>HYPERLINK("http://slimages.macys.com/is/image/MCY/18201705 ")</f>
        <v xml:space="preserve">http://slimages.macys.com/is/image/MCY/18201705 </v>
      </c>
    </row>
    <row r="47" spans="1:14" x14ac:dyDescent="0.25">
      <c r="A47" s="21" t="s">
        <v>593</v>
      </c>
      <c r="B47" s="16" t="s">
        <v>594</v>
      </c>
      <c r="C47" s="17">
        <v>1</v>
      </c>
      <c r="D47" s="22">
        <v>26.99</v>
      </c>
      <c r="E47" s="22">
        <v>26.99</v>
      </c>
      <c r="F47" s="17" t="s">
        <v>592</v>
      </c>
      <c r="G47" s="16" t="s">
        <v>270</v>
      </c>
      <c r="H47" s="21" t="s">
        <v>87</v>
      </c>
      <c r="I47" s="16" t="s">
        <v>11</v>
      </c>
      <c r="J47" s="16" t="s">
        <v>28</v>
      </c>
      <c r="K47" s="16" t="s">
        <v>29</v>
      </c>
      <c r="L47" s="16"/>
      <c r="M47" s="16"/>
      <c r="N47" s="23" t="str">
        <f>HYPERLINK("http://slimages.macys.com/is/image/MCY/19036015 ")</f>
        <v xml:space="preserve">http://slimages.macys.com/is/image/MCY/19036015 </v>
      </c>
    </row>
    <row r="48" spans="1:14" x14ac:dyDescent="0.25">
      <c r="A48" s="21" t="s">
        <v>2110</v>
      </c>
      <c r="B48" s="16" t="s">
        <v>2111</v>
      </c>
      <c r="C48" s="17">
        <v>1</v>
      </c>
      <c r="D48" s="22">
        <v>26.99</v>
      </c>
      <c r="E48" s="22">
        <v>26.99</v>
      </c>
      <c r="F48" s="17" t="s">
        <v>923</v>
      </c>
      <c r="G48" s="16" t="s">
        <v>62</v>
      </c>
      <c r="H48" s="21" t="s">
        <v>47</v>
      </c>
      <c r="I48" s="16" t="s">
        <v>11</v>
      </c>
      <c r="J48" s="16" t="s">
        <v>28</v>
      </c>
      <c r="K48" s="16" t="s">
        <v>29</v>
      </c>
      <c r="L48" s="16"/>
      <c r="M48" s="16"/>
      <c r="N48" s="23" t="str">
        <f>HYPERLINK("http://slimages.macys.com/is/image/MCY/19036015 ")</f>
        <v xml:space="preserve">http://slimages.macys.com/is/image/MCY/19036015 </v>
      </c>
    </row>
    <row r="49" spans="1:14" x14ac:dyDescent="0.25">
      <c r="A49" s="21" t="s">
        <v>924</v>
      </c>
      <c r="B49" s="16" t="s">
        <v>925</v>
      </c>
      <c r="C49" s="17">
        <v>1</v>
      </c>
      <c r="D49" s="22">
        <v>26.99</v>
      </c>
      <c r="E49" s="22">
        <v>26.99</v>
      </c>
      <c r="F49" s="17" t="s">
        <v>923</v>
      </c>
      <c r="G49" s="16" t="s">
        <v>62</v>
      </c>
      <c r="H49" s="21" t="s">
        <v>87</v>
      </c>
      <c r="I49" s="16" t="s">
        <v>11</v>
      </c>
      <c r="J49" s="16" t="s">
        <v>28</v>
      </c>
      <c r="K49" s="16" t="s">
        <v>29</v>
      </c>
      <c r="L49" s="16"/>
      <c r="M49" s="16"/>
      <c r="N49" s="23" t="str">
        <f>HYPERLINK("http://slimages.macys.com/is/image/MCY/19036015 ")</f>
        <v xml:space="preserve">http://slimages.macys.com/is/image/MCY/19036015 </v>
      </c>
    </row>
    <row r="50" spans="1:14" x14ac:dyDescent="0.25">
      <c r="A50" s="21" t="s">
        <v>2105</v>
      </c>
      <c r="B50" s="16" t="s">
        <v>2106</v>
      </c>
      <c r="C50" s="17">
        <v>1</v>
      </c>
      <c r="D50" s="22">
        <v>26.99</v>
      </c>
      <c r="E50" s="22">
        <v>26.99</v>
      </c>
      <c r="F50" s="17" t="s">
        <v>2107</v>
      </c>
      <c r="G50" s="16" t="s">
        <v>86</v>
      </c>
      <c r="H50" s="21" t="s">
        <v>27</v>
      </c>
      <c r="I50" s="16" t="s">
        <v>11</v>
      </c>
      <c r="J50" s="16" t="s">
        <v>28</v>
      </c>
      <c r="K50" s="16" t="s">
        <v>29</v>
      </c>
      <c r="L50" s="16"/>
      <c r="M50" s="16"/>
      <c r="N50" s="23" t="str">
        <f>HYPERLINK("http://slimages.macys.com/is/image/MCY/19036015 ")</f>
        <v xml:space="preserve">http://slimages.macys.com/is/image/MCY/19036015 </v>
      </c>
    </row>
    <row r="51" spans="1:14" x14ac:dyDescent="0.25">
      <c r="A51" s="21" t="s">
        <v>2118</v>
      </c>
      <c r="B51" s="16" t="s">
        <v>2119</v>
      </c>
      <c r="C51" s="17">
        <v>1</v>
      </c>
      <c r="D51" s="22">
        <v>26.99</v>
      </c>
      <c r="E51" s="22">
        <v>26.99</v>
      </c>
      <c r="F51" s="17" t="s">
        <v>2120</v>
      </c>
      <c r="G51" s="16" t="s">
        <v>122</v>
      </c>
      <c r="H51" s="21" t="s">
        <v>27</v>
      </c>
      <c r="I51" s="16" t="s">
        <v>11</v>
      </c>
      <c r="J51" s="16" t="s">
        <v>28</v>
      </c>
      <c r="K51" s="16" t="s">
        <v>29</v>
      </c>
      <c r="L51" s="16"/>
      <c r="M51" s="16"/>
      <c r="N51" s="23" t="str">
        <f>HYPERLINK("http://slimages.macys.com/is/image/MCY/19035978 ")</f>
        <v xml:space="preserve">http://slimages.macys.com/is/image/MCY/19035978 </v>
      </c>
    </row>
    <row r="52" spans="1:14" x14ac:dyDescent="0.25">
      <c r="A52" s="21" t="s">
        <v>1654</v>
      </c>
      <c r="B52" s="16" t="s">
        <v>2056</v>
      </c>
      <c r="C52" s="17">
        <v>1</v>
      </c>
      <c r="D52" s="22">
        <v>44.99</v>
      </c>
      <c r="E52" s="22">
        <v>44.99</v>
      </c>
      <c r="F52" s="17" t="s">
        <v>565</v>
      </c>
      <c r="G52" s="16" t="s">
        <v>120</v>
      </c>
      <c r="H52" s="21" t="s">
        <v>40</v>
      </c>
      <c r="I52" s="16" t="s">
        <v>11</v>
      </c>
      <c r="J52" s="16" t="s">
        <v>28</v>
      </c>
      <c r="K52" s="16" t="s">
        <v>29</v>
      </c>
      <c r="L52" s="16"/>
      <c r="M52" s="16"/>
      <c r="N52" s="23" t="str">
        <f>HYPERLINK("http://slimages.macys.com/is/image/MCY/19287430 ")</f>
        <v xml:space="preserve">http://slimages.macys.com/is/image/MCY/19287430 </v>
      </c>
    </row>
    <row r="53" spans="1:14" x14ac:dyDescent="0.25">
      <c r="A53" s="21" t="s">
        <v>894</v>
      </c>
      <c r="B53" s="16" t="s">
        <v>895</v>
      </c>
      <c r="C53" s="17">
        <v>2</v>
      </c>
      <c r="D53" s="22">
        <v>44.99</v>
      </c>
      <c r="E53" s="22">
        <v>89.98</v>
      </c>
      <c r="F53" s="17" t="s">
        <v>896</v>
      </c>
      <c r="G53" s="16" t="s">
        <v>57</v>
      </c>
      <c r="H53" s="21" t="s">
        <v>32</v>
      </c>
      <c r="I53" s="16" t="s">
        <v>11</v>
      </c>
      <c r="J53" s="16" t="s">
        <v>28</v>
      </c>
      <c r="K53" s="16" t="s">
        <v>29</v>
      </c>
      <c r="L53" s="16"/>
      <c r="M53" s="16"/>
      <c r="N53" s="23" t="str">
        <f>HYPERLINK("http://slimages.macys.com/is/image/MCY/19287430 ")</f>
        <v xml:space="preserve">http://slimages.macys.com/is/image/MCY/19287430 </v>
      </c>
    </row>
    <row r="54" spans="1:14" x14ac:dyDescent="0.25">
      <c r="A54" s="21" t="s">
        <v>1401</v>
      </c>
      <c r="B54" s="16" t="s">
        <v>1402</v>
      </c>
      <c r="C54" s="17">
        <v>1</v>
      </c>
      <c r="D54" s="22">
        <v>44.99</v>
      </c>
      <c r="E54" s="22">
        <v>44.99</v>
      </c>
      <c r="F54" s="17" t="s">
        <v>896</v>
      </c>
      <c r="G54" s="16" t="s">
        <v>57</v>
      </c>
      <c r="H54" s="21" t="s">
        <v>27</v>
      </c>
      <c r="I54" s="16" t="s">
        <v>11</v>
      </c>
      <c r="J54" s="16" t="s">
        <v>28</v>
      </c>
      <c r="K54" s="16" t="s">
        <v>29</v>
      </c>
      <c r="L54" s="16"/>
      <c r="M54" s="16"/>
      <c r="N54" s="23" t="str">
        <f>HYPERLINK("http://slimages.macys.com/is/image/MCY/19287430 ")</f>
        <v xml:space="preserve">http://slimages.macys.com/is/image/MCY/19287430 </v>
      </c>
    </row>
    <row r="55" spans="1:14" x14ac:dyDescent="0.25">
      <c r="A55" s="21" t="s">
        <v>1122</v>
      </c>
      <c r="B55" s="16" t="s">
        <v>1123</v>
      </c>
      <c r="C55" s="17">
        <v>3</v>
      </c>
      <c r="D55" s="22">
        <v>44.99</v>
      </c>
      <c r="E55" s="22">
        <v>134.97</v>
      </c>
      <c r="F55" s="17" t="s">
        <v>896</v>
      </c>
      <c r="G55" s="16" t="s">
        <v>57</v>
      </c>
      <c r="H55" s="21" t="s">
        <v>87</v>
      </c>
      <c r="I55" s="16" t="s">
        <v>11</v>
      </c>
      <c r="J55" s="16" t="s">
        <v>28</v>
      </c>
      <c r="K55" s="16" t="s">
        <v>29</v>
      </c>
      <c r="L55" s="16"/>
      <c r="M55" s="16"/>
      <c r="N55" s="23" t="str">
        <f>HYPERLINK("http://slimages.macys.com/is/image/MCY/19287430 ")</f>
        <v xml:space="preserve">http://slimages.macys.com/is/image/MCY/19287430 </v>
      </c>
    </row>
    <row r="56" spans="1:14" x14ac:dyDescent="0.25">
      <c r="A56" s="21" t="s">
        <v>1655</v>
      </c>
      <c r="B56" s="16" t="s">
        <v>1856</v>
      </c>
      <c r="C56" s="17">
        <v>3</v>
      </c>
      <c r="D56" s="22">
        <v>34.99</v>
      </c>
      <c r="E56" s="22">
        <v>104.97</v>
      </c>
      <c r="F56" s="17" t="s">
        <v>90</v>
      </c>
      <c r="G56" s="16" t="s">
        <v>44</v>
      </c>
      <c r="H56" s="21" t="s">
        <v>32</v>
      </c>
      <c r="I56" s="16" t="s">
        <v>11</v>
      </c>
      <c r="J56" s="16" t="s">
        <v>28</v>
      </c>
      <c r="K56" s="16" t="s">
        <v>29</v>
      </c>
      <c r="L56" s="16"/>
      <c r="M56" s="16"/>
      <c r="N56" s="23" t="str">
        <f t="shared" ref="N56:N62" si="1">HYPERLINK("http://slimages.macys.com/is/image/MCY/19339149 ")</f>
        <v xml:space="preserve">http://slimages.macys.com/is/image/MCY/19339149 </v>
      </c>
    </row>
    <row r="57" spans="1:14" x14ac:dyDescent="0.25">
      <c r="A57" s="21" t="s">
        <v>88</v>
      </c>
      <c r="B57" s="16" t="s">
        <v>89</v>
      </c>
      <c r="C57" s="17">
        <v>3</v>
      </c>
      <c r="D57" s="22">
        <v>34.99</v>
      </c>
      <c r="E57" s="22">
        <v>104.97</v>
      </c>
      <c r="F57" s="17" t="s">
        <v>90</v>
      </c>
      <c r="G57" s="16" t="s">
        <v>44</v>
      </c>
      <c r="H57" s="21" t="s">
        <v>40</v>
      </c>
      <c r="I57" s="16" t="s">
        <v>11</v>
      </c>
      <c r="J57" s="16" t="s">
        <v>28</v>
      </c>
      <c r="K57" s="16" t="s">
        <v>29</v>
      </c>
      <c r="L57" s="16"/>
      <c r="M57" s="16"/>
      <c r="N57" s="23" t="str">
        <f t="shared" si="1"/>
        <v xml:space="preserve">http://slimages.macys.com/is/image/MCY/19339149 </v>
      </c>
    </row>
    <row r="58" spans="1:14" x14ac:dyDescent="0.25">
      <c r="A58" s="21" t="s">
        <v>1854</v>
      </c>
      <c r="B58" s="16" t="s">
        <v>1855</v>
      </c>
      <c r="C58" s="17">
        <v>1</v>
      </c>
      <c r="D58" s="22">
        <v>34.99</v>
      </c>
      <c r="E58" s="22">
        <v>34.99</v>
      </c>
      <c r="F58" s="17" t="s">
        <v>90</v>
      </c>
      <c r="G58" s="16" t="s">
        <v>44</v>
      </c>
      <c r="H58" s="21" t="s">
        <v>55</v>
      </c>
      <c r="I58" s="16" t="s">
        <v>11</v>
      </c>
      <c r="J58" s="16" t="s">
        <v>28</v>
      </c>
      <c r="K58" s="16" t="s">
        <v>29</v>
      </c>
      <c r="L58" s="16"/>
      <c r="M58" s="16"/>
      <c r="N58" s="23" t="str">
        <f t="shared" si="1"/>
        <v xml:space="preserve">http://slimages.macys.com/is/image/MCY/19339149 </v>
      </c>
    </row>
    <row r="59" spans="1:14" x14ac:dyDescent="0.25">
      <c r="A59" s="21" t="s">
        <v>91</v>
      </c>
      <c r="B59" s="16" t="s">
        <v>92</v>
      </c>
      <c r="C59" s="17">
        <v>2</v>
      </c>
      <c r="D59" s="22">
        <v>34.99</v>
      </c>
      <c r="E59" s="22">
        <v>69.98</v>
      </c>
      <c r="F59" s="17" t="s">
        <v>90</v>
      </c>
      <c r="G59" s="16" t="s">
        <v>44</v>
      </c>
      <c r="H59" s="21" t="s">
        <v>27</v>
      </c>
      <c r="I59" s="16" t="s">
        <v>11</v>
      </c>
      <c r="J59" s="16" t="s">
        <v>28</v>
      </c>
      <c r="K59" s="16" t="s">
        <v>29</v>
      </c>
      <c r="L59" s="16"/>
      <c r="M59" s="16"/>
      <c r="N59" s="23" t="str">
        <f t="shared" si="1"/>
        <v xml:space="preserve">http://slimages.macys.com/is/image/MCY/19339149 </v>
      </c>
    </row>
    <row r="60" spans="1:14" x14ac:dyDescent="0.25">
      <c r="A60" s="21" t="s">
        <v>1857</v>
      </c>
      <c r="B60" s="16" t="s">
        <v>1858</v>
      </c>
      <c r="C60" s="17">
        <v>2</v>
      </c>
      <c r="D60" s="22">
        <v>34.99</v>
      </c>
      <c r="E60" s="22">
        <v>69.98</v>
      </c>
      <c r="F60" s="17" t="s">
        <v>90</v>
      </c>
      <c r="G60" s="16" t="s">
        <v>44</v>
      </c>
      <c r="H60" s="21" t="s">
        <v>47</v>
      </c>
      <c r="I60" s="16" t="s">
        <v>11</v>
      </c>
      <c r="J60" s="16" t="s">
        <v>28</v>
      </c>
      <c r="K60" s="16" t="s">
        <v>29</v>
      </c>
      <c r="L60" s="16"/>
      <c r="M60" s="16"/>
      <c r="N60" s="23" t="str">
        <f t="shared" si="1"/>
        <v xml:space="preserve">http://slimages.macys.com/is/image/MCY/19339149 </v>
      </c>
    </row>
    <row r="61" spans="1:14" x14ac:dyDescent="0.25">
      <c r="A61" s="21" t="s">
        <v>1414</v>
      </c>
      <c r="B61" s="16" t="s">
        <v>1415</v>
      </c>
      <c r="C61" s="17">
        <v>1</v>
      </c>
      <c r="D61" s="22">
        <v>34.99</v>
      </c>
      <c r="E61" s="22">
        <v>34.99</v>
      </c>
      <c r="F61" s="17" t="s">
        <v>90</v>
      </c>
      <c r="G61" s="16" t="s">
        <v>44</v>
      </c>
      <c r="H61" s="21" t="s">
        <v>87</v>
      </c>
      <c r="I61" s="16" t="s">
        <v>11</v>
      </c>
      <c r="J61" s="16" t="s">
        <v>28</v>
      </c>
      <c r="K61" s="16" t="s">
        <v>29</v>
      </c>
      <c r="L61" s="16"/>
      <c r="M61" s="16"/>
      <c r="N61" s="23" t="str">
        <f t="shared" si="1"/>
        <v xml:space="preserve">http://slimages.macys.com/is/image/MCY/19339149 </v>
      </c>
    </row>
    <row r="62" spans="1:14" x14ac:dyDescent="0.25">
      <c r="A62" s="21" t="s">
        <v>96</v>
      </c>
      <c r="B62" s="16" t="s">
        <v>97</v>
      </c>
      <c r="C62" s="17">
        <v>1</v>
      </c>
      <c r="D62" s="22">
        <v>34.99</v>
      </c>
      <c r="E62" s="22">
        <v>34.99</v>
      </c>
      <c r="F62" s="17" t="s">
        <v>98</v>
      </c>
      <c r="G62" s="16" t="s">
        <v>82</v>
      </c>
      <c r="H62" s="21" t="s">
        <v>40</v>
      </c>
      <c r="I62" s="16" t="s">
        <v>11</v>
      </c>
      <c r="J62" s="16" t="s">
        <v>28</v>
      </c>
      <c r="K62" s="16" t="s">
        <v>29</v>
      </c>
      <c r="L62" s="16"/>
      <c r="M62" s="16"/>
      <c r="N62" s="23" t="str">
        <f t="shared" si="1"/>
        <v xml:space="preserve">http://slimages.macys.com/is/image/MCY/19339149 </v>
      </c>
    </row>
    <row r="63" spans="1:14" x14ac:dyDescent="0.25">
      <c r="A63" s="21" t="s">
        <v>584</v>
      </c>
      <c r="B63" s="16" t="s">
        <v>585</v>
      </c>
      <c r="C63" s="17">
        <v>1</v>
      </c>
      <c r="D63" s="22">
        <v>32.99</v>
      </c>
      <c r="E63" s="22">
        <v>32.99</v>
      </c>
      <c r="F63" s="17" t="s">
        <v>586</v>
      </c>
      <c r="G63" s="16" t="s">
        <v>127</v>
      </c>
      <c r="H63" s="21" t="s">
        <v>27</v>
      </c>
      <c r="I63" s="16" t="s">
        <v>11</v>
      </c>
      <c r="J63" s="16" t="s">
        <v>28</v>
      </c>
      <c r="K63" s="16" t="s">
        <v>29</v>
      </c>
      <c r="L63" s="16"/>
      <c r="M63" s="16"/>
      <c r="N63" s="23" t="str">
        <f>HYPERLINK("http://slimages.macys.com/is/image/MCY/19208834 ")</f>
        <v xml:space="preserve">http://slimages.macys.com/is/image/MCY/19208834 </v>
      </c>
    </row>
    <row r="64" spans="1:14" x14ac:dyDescent="0.25">
      <c r="A64" s="21" t="s">
        <v>579</v>
      </c>
      <c r="B64" s="16" t="s">
        <v>580</v>
      </c>
      <c r="C64" s="17">
        <v>1</v>
      </c>
      <c r="D64" s="22">
        <v>26.11</v>
      </c>
      <c r="E64" s="22">
        <v>26.11</v>
      </c>
      <c r="F64" s="17" t="s">
        <v>576</v>
      </c>
      <c r="G64" s="16" t="s">
        <v>31</v>
      </c>
      <c r="H64" s="21" t="s">
        <v>40</v>
      </c>
      <c r="I64" s="16" t="s">
        <v>11</v>
      </c>
      <c r="J64" s="16" t="s">
        <v>28</v>
      </c>
      <c r="K64" s="16" t="s">
        <v>29</v>
      </c>
      <c r="L64" s="16"/>
      <c r="M64" s="16"/>
      <c r="N64" s="23" t="str">
        <f>HYPERLINK("http://slimages.macys.com/is/image/MCY/1017709 ")</f>
        <v xml:space="preserve">http://slimages.macys.com/is/image/MCY/1017709 </v>
      </c>
    </row>
    <row r="65" spans="1:14" x14ac:dyDescent="0.25">
      <c r="A65" s="21" t="s">
        <v>1135</v>
      </c>
      <c r="B65" s="16" t="s">
        <v>1136</v>
      </c>
      <c r="C65" s="17">
        <v>3</v>
      </c>
      <c r="D65" s="22">
        <v>39.99</v>
      </c>
      <c r="E65" s="22">
        <v>119.97</v>
      </c>
      <c r="F65" s="17" t="s">
        <v>576</v>
      </c>
      <c r="G65" s="16" t="s">
        <v>57</v>
      </c>
      <c r="H65" s="21" t="s">
        <v>32</v>
      </c>
      <c r="I65" s="16" t="s">
        <v>11</v>
      </c>
      <c r="J65" s="16" t="s">
        <v>28</v>
      </c>
      <c r="K65" s="16" t="s">
        <v>29</v>
      </c>
      <c r="L65" s="16"/>
      <c r="M65" s="16"/>
      <c r="N65" s="23" t="str">
        <f>HYPERLINK("http://slimages.macys.com/is/image/MCY/20052118 ")</f>
        <v xml:space="preserve">http://slimages.macys.com/is/image/MCY/20052118 </v>
      </c>
    </row>
    <row r="66" spans="1:14" x14ac:dyDescent="0.25">
      <c r="A66" s="21" t="s">
        <v>2074</v>
      </c>
      <c r="B66" s="16" t="s">
        <v>2075</v>
      </c>
      <c r="C66" s="17">
        <v>4</v>
      </c>
      <c r="D66" s="22">
        <v>39.99</v>
      </c>
      <c r="E66" s="22">
        <v>159.96</v>
      </c>
      <c r="F66" s="17" t="s">
        <v>576</v>
      </c>
      <c r="G66" s="16" t="s">
        <v>57</v>
      </c>
      <c r="H66" s="21" t="s">
        <v>40</v>
      </c>
      <c r="I66" s="16" t="s">
        <v>11</v>
      </c>
      <c r="J66" s="16" t="s">
        <v>28</v>
      </c>
      <c r="K66" s="16" t="s">
        <v>29</v>
      </c>
      <c r="L66" s="16"/>
      <c r="M66" s="16"/>
      <c r="N66" s="23" t="str">
        <f>HYPERLINK("http://slimages.macys.com/is/image/MCY/20051271 ")</f>
        <v xml:space="preserve">http://slimages.macys.com/is/image/MCY/20051271 </v>
      </c>
    </row>
    <row r="67" spans="1:14" x14ac:dyDescent="0.25">
      <c r="A67" s="21" t="s">
        <v>2072</v>
      </c>
      <c r="B67" s="16" t="s">
        <v>2073</v>
      </c>
      <c r="C67" s="17">
        <v>2</v>
      </c>
      <c r="D67" s="22">
        <v>39.99</v>
      </c>
      <c r="E67" s="22">
        <v>79.98</v>
      </c>
      <c r="F67" s="17" t="s">
        <v>576</v>
      </c>
      <c r="G67" s="16" t="s">
        <v>57</v>
      </c>
      <c r="H67" s="21" t="s">
        <v>55</v>
      </c>
      <c r="I67" s="16" t="s">
        <v>11</v>
      </c>
      <c r="J67" s="16" t="s">
        <v>28</v>
      </c>
      <c r="K67" s="16" t="s">
        <v>29</v>
      </c>
      <c r="L67" s="16"/>
      <c r="M67" s="16"/>
      <c r="N67" s="23" t="str">
        <f>HYPERLINK("http://slimages.macys.com/is/image/MCY/20051271 ")</f>
        <v xml:space="preserve">http://slimages.macys.com/is/image/MCY/20051271 </v>
      </c>
    </row>
    <row r="68" spans="1:14" x14ac:dyDescent="0.25">
      <c r="A68" s="21" t="s">
        <v>574</v>
      </c>
      <c r="B68" s="16" t="s">
        <v>575</v>
      </c>
      <c r="C68" s="17">
        <v>3</v>
      </c>
      <c r="D68" s="22">
        <v>39.99</v>
      </c>
      <c r="E68" s="22">
        <v>119.97</v>
      </c>
      <c r="F68" s="17" t="s">
        <v>576</v>
      </c>
      <c r="G68" s="16" t="s">
        <v>57</v>
      </c>
      <c r="H68" s="21" t="s">
        <v>27</v>
      </c>
      <c r="I68" s="16" t="s">
        <v>11</v>
      </c>
      <c r="J68" s="16" t="s">
        <v>28</v>
      </c>
      <c r="K68" s="16" t="s">
        <v>29</v>
      </c>
      <c r="L68" s="16"/>
      <c r="M68" s="16"/>
      <c r="N68" s="23" t="str">
        <f>HYPERLINK("http://slimages.macys.com/is/image/MCY/20051271 ")</f>
        <v xml:space="preserve">http://slimages.macys.com/is/image/MCY/20051271 </v>
      </c>
    </row>
    <row r="69" spans="1:14" x14ac:dyDescent="0.25">
      <c r="A69" s="21" t="s">
        <v>2076</v>
      </c>
      <c r="B69" s="16" t="s">
        <v>2077</v>
      </c>
      <c r="C69" s="17">
        <v>2</v>
      </c>
      <c r="D69" s="22">
        <v>39.99</v>
      </c>
      <c r="E69" s="22">
        <v>79.98</v>
      </c>
      <c r="F69" s="17" t="s">
        <v>576</v>
      </c>
      <c r="G69" s="16" t="s">
        <v>57</v>
      </c>
      <c r="H69" s="21" t="s">
        <v>47</v>
      </c>
      <c r="I69" s="16" t="s">
        <v>11</v>
      </c>
      <c r="J69" s="16" t="s">
        <v>28</v>
      </c>
      <c r="K69" s="16" t="s">
        <v>29</v>
      </c>
      <c r="L69" s="16"/>
      <c r="M69" s="16"/>
      <c r="N69" s="23" t="str">
        <f>HYPERLINK("http://slimages.macys.com/is/image/MCY/20051271 ")</f>
        <v xml:space="preserve">http://slimages.macys.com/is/image/MCY/20051271 </v>
      </c>
    </row>
    <row r="70" spans="1:14" x14ac:dyDescent="0.25">
      <c r="A70" s="21" t="s">
        <v>577</v>
      </c>
      <c r="B70" s="16" t="s">
        <v>578</v>
      </c>
      <c r="C70" s="17">
        <v>1</v>
      </c>
      <c r="D70" s="22">
        <v>39.99</v>
      </c>
      <c r="E70" s="22">
        <v>39.99</v>
      </c>
      <c r="F70" s="17" t="s">
        <v>576</v>
      </c>
      <c r="G70" s="16" t="s">
        <v>57</v>
      </c>
      <c r="H70" s="21" t="s">
        <v>87</v>
      </c>
      <c r="I70" s="16" t="s">
        <v>11</v>
      </c>
      <c r="J70" s="16" t="s">
        <v>28</v>
      </c>
      <c r="K70" s="16" t="s">
        <v>29</v>
      </c>
      <c r="L70" s="16"/>
      <c r="M70" s="16"/>
      <c r="N70" s="23" t="str">
        <f>HYPERLINK("http://slimages.macys.com/is/image/MCY/20052118 ")</f>
        <v xml:space="preserve">http://slimages.macys.com/is/image/MCY/20052118 </v>
      </c>
    </row>
    <row r="71" spans="1:14" x14ac:dyDescent="0.25">
      <c r="A71" s="21" t="s">
        <v>1826</v>
      </c>
      <c r="B71" s="16" t="s">
        <v>1827</v>
      </c>
      <c r="C71" s="17">
        <v>1</v>
      </c>
      <c r="D71" s="22">
        <v>39.99</v>
      </c>
      <c r="E71" s="22">
        <v>39.99</v>
      </c>
      <c r="F71" s="17" t="s">
        <v>1128</v>
      </c>
      <c r="G71" s="16" t="s">
        <v>44</v>
      </c>
      <c r="H71" s="21" t="s">
        <v>47</v>
      </c>
      <c r="I71" s="16" t="s">
        <v>11</v>
      </c>
      <c r="J71" s="16" t="s">
        <v>28</v>
      </c>
      <c r="K71" s="16" t="s">
        <v>29</v>
      </c>
      <c r="L71" s="16"/>
      <c r="M71" s="16"/>
      <c r="N71" s="23" t="str">
        <f>HYPERLINK("http://slimages.macys.com/is/image/MCY/20052118 ")</f>
        <v xml:space="preserve">http://slimages.macys.com/is/image/MCY/20052118 </v>
      </c>
    </row>
    <row r="72" spans="1:14" x14ac:dyDescent="0.25">
      <c r="A72" s="21" t="s">
        <v>1828</v>
      </c>
      <c r="B72" s="16" t="s">
        <v>1829</v>
      </c>
      <c r="C72" s="17">
        <v>1</v>
      </c>
      <c r="D72" s="22">
        <v>39.99</v>
      </c>
      <c r="E72" s="22">
        <v>39.99</v>
      </c>
      <c r="F72" s="17" t="s">
        <v>1128</v>
      </c>
      <c r="G72" s="16" t="s">
        <v>44</v>
      </c>
      <c r="H72" s="21" t="s">
        <v>87</v>
      </c>
      <c r="I72" s="16" t="s">
        <v>11</v>
      </c>
      <c r="J72" s="16" t="s">
        <v>28</v>
      </c>
      <c r="K72" s="16" t="s">
        <v>29</v>
      </c>
      <c r="L72" s="16"/>
      <c r="M72" s="16"/>
      <c r="N72" s="23" t="str">
        <f>HYPERLINK("http://slimages.macys.com/is/image/MCY/20052118 ")</f>
        <v xml:space="preserve">http://slimages.macys.com/is/image/MCY/20052118 </v>
      </c>
    </row>
    <row r="73" spans="1:14" x14ac:dyDescent="0.25">
      <c r="A73" s="21" t="s">
        <v>1131</v>
      </c>
      <c r="B73" s="16" t="s">
        <v>1132</v>
      </c>
      <c r="C73" s="17">
        <v>4</v>
      </c>
      <c r="D73" s="22">
        <v>25.99</v>
      </c>
      <c r="E73" s="22">
        <v>103.96</v>
      </c>
      <c r="F73" s="17" t="s">
        <v>71</v>
      </c>
      <c r="G73" s="16" t="s">
        <v>31</v>
      </c>
      <c r="H73" s="21" t="s">
        <v>40</v>
      </c>
      <c r="I73" s="16" t="s">
        <v>11</v>
      </c>
      <c r="J73" s="16" t="s">
        <v>28</v>
      </c>
      <c r="K73" s="16" t="s">
        <v>29</v>
      </c>
      <c r="L73" s="16"/>
      <c r="M73" s="16"/>
      <c r="N73" s="23" t="str">
        <f>HYPERLINK("http://slimages.macys.com/is/image/MCY/18574734 ")</f>
        <v xml:space="preserve">http://slimages.macys.com/is/image/MCY/18574734 </v>
      </c>
    </row>
    <row r="74" spans="1:14" x14ac:dyDescent="0.25">
      <c r="A74" s="21" t="s">
        <v>1720</v>
      </c>
      <c r="B74" s="16" t="s">
        <v>1721</v>
      </c>
      <c r="C74" s="17">
        <v>2</v>
      </c>
      <c r="D74" s="22">
        <v>25.99</v>
      </c>
      <c r="E74" s="22">
        <v>51.98</v>
      </c>
      <c r="F74" s="17" t="s">
        <v>71</v>
      </c>
      <c r="G74" s="16" t="s">
        <v>31</v>
      </c>
      <c r="H74" s="21" t="s">
        <v>27</v>
      </c>
      <c r="I74" s="16" t="s">
        <v>11</v>
      </c>
      <c r="J74" s="16" t="s">
        <v>28</v>
      </c>
      <c r="K74" s="16" t="s">
        <v>29</v>
      </c>
      <c r="L74" s="16"/>
      <c r="M74" s="16"/>
      <c r="N74" s="23" t="str">
        <f>HYPERLINK("http://slimages.macys.com/is/image/MCY/18574734 ")</f>
        <v xml:space="preserve">http://slimages.macys.com/is/image/MCY/18574734 </v>
      </c>
    </row>
    <row r="75" spans="1:14" x14ac:dyDescent="0.25">
      <c r="A75" s="21" t="s">
        <v>72</v>
      </c>
      <c r="B75" s="16" t="s">
        <v>73</v>
      </c>
      <c r="C75" s="17">
        <v>1</v>
      </c>
      <c r="D75" s="22">
        <v>25.99</v>
      </c>
      <c r="E75" s="22">
        <v>25.99</v>
      </c>
      <c r="F75" s="17" t="s">
        <v>71</v>
      </c>
      <c r="G75" s="16" t="s">
        <v>31</v>
      </c>
      <c r="H75" s="21" t="s">
        <v>47</v>
      </c>
      <c r="I75" s="16" t="s">
        <v>11</v>
      </c>
      <c r="J75" s="16" t="s">
        <v>28</v>
      </c>
      <c r="K75" s="16" t="s">
        <v>29</v>
      </c>
      <c r="L75" s="16"/>
      <c r="M75" s="16"/>
      <c r="N75" s="23" t="str">
        <f>HYPERLINK("http://slimages.macys.com/is/image/MCY/18574734 ")</f>
        <v xml:space="preserve">http://slimages.macys.com/is/image/MCY/18574734 </v>
      </c>
    </row>
    <row r="76" spans="1:14" x14ac:dyDescent="0.25">
      <c r="A76" s="21" t="s">
        <v>1834</v>
      </c>
      <c r="B76" s="16" t="s">
        <v>1835</v>
      </c>
      <c r="C76" s="17">
        <v>1</v>
      </c>
      <c r="D76" s="22">
        <v>25.99</v>
      </c>
      <c r="E76" s="22">
        <v>25.99</v>
      </c>
      <c r="F76" s="17" t="s">
        <v>71</v>
      </c>
      <c r="G76" s="16" t="s">
        <v>76</v>
      </c>
      <c r="H76" s="21" t="s">
        <v>32</v>
      </c>
      <c r="I76" s="16" t="s">
        <v>11</v>
      </c>
      <c r="J76" s="16" t="s">
        <v>28</v>
      </c>
      <c r="K76" s="16" t="s">
        <v>29</v>
      </c>
      <c r="L76" s="16"/>
      <c r="M76" s="16"/>
      <c r="N76" s="23" t="str">
        <f>HYPERLINK("http://slimages.macys.com/is/image/MCY/18574734 ")</f>
        <v xml:space="preserve">http://slimages.macys.com/is/image/MCY/18574734 </v>
      </c>
    </row>
    <row r="77" spans="1:14" x14ac:dyDescent="0.25">
      <c r="A77" s="21" t="s">
        <v>74</v>
      </c>
      <c r="B77" s="16" t="s">
        <v>75</v>
      </c>
      <c r="C77" s="17">
        <v>1</v>
      </c>
      <c r="D77" s="22">
        <v>25.99</v>
      </c>
      <c r="E77" s="22">
        <v>25.99</v>
      </c>
      <c r="F77" s="17" t="s">
        <v>71</v>
      </c>
      <c r="G77" s="16" t="s">
        <v>76</v>
      </c>
      <c r="H77" s="21" t="s">
        <v>55</v>
      </c>
      <c r="I77" s="16" t="s">
        <v>11</v>
      </c>
      <c r="J77" s="16" t="s">
        <v>28</v>
      </c>
      <c r="K77" s="16" t="s">
        <v>29</v>
      </c>
      <c r="L77" s="16"/>
      <c r="M77" s="16"/>
      <c r="N77" s="23" t="str">
        <f>HYPERLINK("http://slimages.macys.com/is/image/MCY/18530225 ")</f>
        <v xml:space="preserve">http://slimages.macys.com/is/image/MCY/18530225 </v>
      </c>
    </row>
    <row r="78" spans="1:14" x14ac:dyDescent="0.25">
      <c r="A78" s="21" t="s">
        <v>2070</v>
      </c>
      <c r="B78" s="16" t="s">
        <v>2071</v>
      </c>
      <c r="C78" s="17">
        <v>1</v>
      </c>
      <c r="D78" s="22">
        <v>25.99</v>
      </c>
      <c r="E78" s="22">
        <v>25.99</v>
      </c>
      <c r="F78" s="17" t="s">
        <v>71</v>
      </c>
      <c r="G78" s="16" t="s">
        <v>76</v>
      </c>
      <c r="H78" s="21" t="s">
        <v>27</v>
      </c>
      <c r="I78" s="16" t="s">
        <v>11</v>
      </c>
      <c r="J78" s="16" t="s">
        <v>28</v>
      </c>
      <c r="K78" s="16" t="s">
        <v>29</v>
      </c>
      <c r="L78" s="16"/>
      <c r="M78" s="16"/>
      <c r="N78" s="23" t="str">
        <f>HYPERLINK("http://slimages.macys.com/is/image/MCY/18826300 ")</f>
        <v xml:space="preserve">http://slimages.macys.com/is/image/MCY/18826300 </v>
      </c>
    </row>
    <row r="79" spans="1:14" x14ac:dyDescent="0.25">
      <c r="A79" s="21" t="s">
        <v>1592</v>
      </c>
      <c r="B79" s="16" t="s">
        <v>1593</v>
      </c>
      <c r="C79" s="17">
        <v>1</v>
      </c>
      <c r="D79" s="22">
        <v>25.99</v>
      </c>
      <c r="E79" s="22">
        <v>25.99</v>
      </c>
      <c r="F79" s="17" t="s">
        <v>71</v>
      </c>
      <c r="G79" s="16" t="s">
        <v>76</v>
      </c>
      <c r="H79" s="21" t="s">
        <v>47</v>
      </c>
      <c r="I79" s="16" t="s">
        <v>11</v>
      </c>
      <c r="J79" s="16" t="s">
        <v>28</v>
      </c>
      <c r="K79" s="16" t="s">
        <v>29</v>
      </c>
      <c r="L79" s="16"/>
      <c r="M79" s="16"/>
      <c r="N79" s="23" t="str">
        <f>HYPERLINK("http://slimages.macys.com/is/image/MCY/18574734 ")</f>
        <v xml:space="preserve">http://slimages.macys.com/is/image/MCY/18574734 </v>
      </c>
    </row>
    <row r="80" spans="1:14" x14ac:dyDescent="0.25">
      <c r="A80" s="21" t="s">
        <v>570</v>
      </c>
      <c r="B80" s="16" t="s">
        <v>571</v>
      </c>
      <c r="C80" s="17">
        <v>7</v>
      </c>
      <c r="D80" s="22">
        <v>25.99</v>
      </c>
      <c r="E80" s="22">
        <v>181.93</v>
      </c>
      <c r="F80" s="17" t="s">
        <v>68</v>
      </c>
      <c r="G80" s="16" t="s">
        <v>44</v>
      </c>
      <c r="H80" s="21" t="s">
        <v>32</v>
      </c>
      <c r="I80" s="16" t="s">
        <v>11</v>
      </c>
      <c r="J80" s="16" t="s">
        <v>28</v>
      </c>
      <c r="K80" s="16" t="s">
        <v>29</v>
      </c>
      <c r="L80" s="16"/>
      <c r="M80" s="16"/>
      <c r="N80" s="23" t="str">
        <f>HYPERLINK("http://slimages.macys.com/is/image/MCY/18574734 ")</f>
        <v xml:space="preserve">http://slimages.macys.com/is/image/MCY/18574734 </v>
      </c>
    </row>
    <row r="81" spans="1:14" x14ac:dyDescent="0.25">
      <c r="A81" s="21" t="s">
        <v>66</v>
      </c>
      <c r="B81" s="16" t="s">
        <v>67</v>
      </c>
      <c r="C81" s="17">
        <v>7</v>
      </c>
      <c r="D81" s="22">
        <v>25.99</v>
      </c>
      <c r="E81" s="22">
        <v>181.93</v>
      </c>
      <c r="F81" s="17" t="s">
        <v>68</v>
      </c>
      <c r="G81" s="16" t="s">
        <v>44</v>
      </c>
      <c r="H81" s="21" t="s">
        <v>40</v>
      </c>
      <c r="I81" s="16" t="s">
        <v>11</v>
      </c>
      <c r="J81" s="16" t="s">
        <v>28</v>
      </c>
      <c r="K81" s="16" t="s">
        <v>29</v>
      </c>
      <c r="L81" s="16"/>
      <c r="M81" s="16"/>
      <c r="N81" s="23" t="str">
        <f>HYPERLINK("http://slimages.macys.com/is/image/MCY/18574734 ")</f>
        <v xml:space="preserve">http://slimages.macys.com/is/image/MCY/18574734 </v>
      </c>
    </row>
    <row r="82" spans="1:14" x14ac:dyDescent="0.25">
      <c r="A82" s="21" t="s">
        <v>572</v>
      </c>
      <c r="B82" s="16" t="s">
        <v>573</v>
      </c>
      <c r="C82" s="17">
        <v>3</v>
      </c>
      <c r="D82" s="22">
        <v>25.99</v>
      </c>
      <c r="E82" s="22">
        <v>77.97</v>
      </c>
      <c r="F82" s="17" t="s">
        <v>68</v>
      </c>
      <c r="G82" s="16" t="s">
        <v>44</v>
      </c>
      <c r="H82" s="21" t="s">
        <v>55</v>
      </c>
      <c r="I82" s="16" t="s">
        <v>11</v>
      </c>
      <c r="J82" s="16" t="s">
        <v>28</v>
      </c>
      <c r="K82" s="16" t="s">
        <v>29</v>
      </c>
      <c r="L82" s="16"/>
      <c r="M82" s="16"/>
      <c r="N82" s="23" t="str">
        <f>HYPERLINK("http://slimages.macys.com/is/image/MCY/18530225 ")</f>
        <v xml:space="preserve">http://slimages.macys.com/is/image/MCY/18530225 </v>
      </c>
    </row>
    <row r="83" spans="1:14" x14ac:dyDescent="0.25">
      <c r="A83" s="21" t="s">
        <v>568</v>
      </c>
      <c r="B83" s="16" t="s">
        <v>569</v>
      </c>
      <c r="C83" s="17">
        <v>1</v>
      </c>
      <c r="D83" s="22">
        <v>25.99</v>
      </c>
      <c r="E83" s="22">
        <v>25.99</v>
      </c>
      <c r="F83" s="17" t="s">
        <v>68</v>
      </c>
      <c r="G83" s="16" t="s">
        <v>44</v>
      </c>
      <c r="H83" s="21" t="s">
        <v>47</v>
      </c>
      <c r="I83" s="16" t="s">
        <v>11</v>
      </c>
      <c r="J83" s="16" t="s">
        <v>28</v>
      </c>
      <c r="K83" s="16" t="s">
        <v>29</v>
      </c>
      <c r="L83" s="16"/>
      <c r="M83" s="16"/>
      <c r="N83" s="23" t="str">
        <f>HYPERLINK("http://slimages.macys.com/is/image/MCY/18574734 ")</f>
        <v xml:space="preserve">http://slimages.macys.com/is/image/MCY/18574734 </v>
      </c>
    </row>
    <row r="84" spans="1:14" x14ac:dyDescent="0.25">
      <c r="A84" s="21" t="s">
        <v>902</v>
      </c>
      <c r="B84" s="16" t="s">
        <v>903</v>
      </c>
      <c r="C84" s="17">
        <v>2</v>
      </c>
      <c r="D84" s="22">
        <v>25.99</v>
      </c>
      <c r="E84" s="22">
        <v>51.98</v>
      </c>
      <c r="F84" s="17" t="s">
        <v>68</v>
      </c>
      <c r="G84" s="16" t="s">
        <v>44</v>
      </c>
      <c r="H84" s="21" t="s">
        <v>87</v>
      </c>
      <c r="I84" s="16" t="s">
        <v>11</v>
      </c>
      <c r="J84" s="16" t="s">
        <v>28</v>
      </c>
      <c r="K84" s="16" t="s">
        <v>29</v>
      </c>
      <c r="L84" s="16"/>
      <c r="M84" s="16"/>
      <c r="N84" s="23" t="str">
        <f>HYPERLINK("http://slimages.macys.com/is/image/MCY/18574734 ")</f>
        <v xml:space="preserve">http://slimages.macys.com/is/image/MCY/18574734 </v>
      </c>
    </row>
    <row r="85" spans="1:14" x14ac:dyDescent="0.25">
      <c r="A85" s="21" t="s">
        <v>2086</v>
      </c>
      <c r="B85" s="16" t="s">
        <v>2087</v>
      </c>
      <c r="C85" s="17">
        <v>1</v>
      </c>
      <c r="D85" s="22">
        <v>42.99</v>
      </c>
      <c r="E85" s="22">
        <v>42.99</v>
      </c>
      <c r="F85" s="17" t="s">
        <v>583</v>
      </c>
      <c r="G85" s="16" t="s">
        <v>31</v>
      </c>
      <c r="H85" s="21" t="s">
        <v>32</v>
      </c>
      <c r="I85" s="16" t="s">
        <v>11</v>
      </c>
      <c r="J85" s="16" t="s">
        <v>28</v>
      </c>
      <c r="K85" s="16" t="s">
        <v>29</v>
      </c>
      <c r="L85" s="16"/>
      <c r="M85" s="16"/>
      <c r="N85" s="23" t="str">
        <f>HYPERLINK("http://slimages.macys.com/is/image/MCY/19043890 ")</f>
        <v xml:space="preserve">http://slimages.macys.com/is/image/MCY/19043890 </v>
      </c>
    </row>
    <row r="86" spans="1:14" x14ac:dyDescent="0.25">
      <c r="A86" s="21" t="s">
        <v>2084</v>
      </c>
      <c r="B86" s="16" t="s">
        <v>2085</v>
      </c>
      <c r="C86" s="17">
        <v>1</v>
      </c>
      <c r="D86" s="22">
        <v>42.99</v>
      </c>
      <c r="E86" s="22">
        <v>42.99</v>
      </c>
      <c r="F86" s="17" t="s">
        <v>583</v>
      </c>
      <c r="G86" s="16" t="s">
        <v>31</v>
      </c>
      <c r="H86" s="21" t="s">
        <v>55</v>
      </c>
      <c r="I86" s="16" t="s">
        <v>11</v>
      </c>
      <c r="J86" s="16" t="s">
        <v>28</v>
      </c>
      <c r="K86" s="16" t="s">
        <v>29</v>
      </c>
      <c r="L86" s="16"/>
      <c r="M86" s="16"/>
      <c r="N86" s="23" t="str">
        <f>HYPERLINK("http://slimages.macys.com/is/image/MCY/19043890 ")</f>
        <v xml:space="preserve">http://slimages.macys.com/is/image/MCY/19043890 </v>
      </c>
    </row>
    <row r="87" spans="1:14" x14ac:dyDescent="0.25">
      <c r="A87" s="21" t="s">
        <v>23</v>
      </c>
      <c r="B87" s="16" t="s">
        <v>24</v>
      </c>
      <c r="C87" s="17">
        <v>1</v>
      </c>
      <c r="D87" s="22">
        <v>44.99</v>
      </c>
      <c r="E87" s="22">
        <v>44.99</v>
      </c>
      <c r="F87" s="17" t="s">
        <v>25</v>
      </c>
      <c r="G87" s="16" t="s">
        <v>26</v>
      </c>
      <c r="H87" s="21" t="s">
        <v>27</v>
      </c>
      <c r="I87" s="16" t="s">
        <v>11</v>
      </c>
      <c r="J87" s="16" t="s">
        <v>28</v>
      </c>
      <c r="K87" s="16" t="s">
        <v>29</v>
      </c>
      <c r="L87" s="16"/>
      <c r="M87" s="16"/>
      <c r="N87" s="23" t="str">
        <f>HYPERLINK("http://slimages.macys.com/is/image/MCY/19287412 ")</f>
        <v xml:space="preserve">http://slimages.macys.com/is/image/MCY/19287412 </v>
      </c>
    </row>
    <row r="88" spans="1:14" x14ac:dyDescent="0.25">
      <c r="A88" s="21" t="s">
        <v>2130</v>
      </c>
      <c r="B88" s="16" t="s">
        <v>2131</v>
      </c>
      <c r="C88" s="17">
        <v>1</v>
      </c>
      <c r="D88" s="22">
        <v>24.99</v>
      </c>
      <c r="E88" s="22">
        <v>24.99</v>
      </c>
      <c r="F88" s="17" t="s">
        <v>106</v>
      </c>
      <c r="G88" s="16" t="s">
        <v>107</v>
      </c>
      <c r="H88" s="21" t="s">
        <v>32</v>
      </c>
      <c r="I88" s="16" t="s">
        <v>11</v>
      </c>
      <c r="J88" s="16" t="s">
        <v>28</v>
      </c>
      <c r="K88" s="16" t="s">
        <v>29</v>
      </c>
      <c r="L88" s="16"/>
      <c r="M88" s="16"/>
      <c r="N88" s="23" t="str">
        <f>HYPERLINK("http://slimages.macys.com/is/image/MCY/18294003 ")</f>
        <v xml:space="preserve">http://slimages.macys.com/is/image/MCY/18294003 </v>
      </c>
    </row>
    <row r="89" spans="1:14" x14ac:dyDescent="0.25">
      <c r="A89" s="21" t="s">
        <v>2121</v>
      </c>
      <c r="B89" s="16" t="s">
        <v>2122</v>
      </c>
      <c r="C89" s="17">
        <v>1</v>
      </c>
      <c r="D89" s="22">
        <v>24.99</v>
      </c>
      <c r="E89" s="22">
        <v>24.99</v>
      </c>
      <c r="F89" s="17" t="s">
        <v>597</v>
      </c>
      <c r="G89" s="16" t="s">
        <v>62</v>
      </c>
      <c r="H89" s="21" t="s">
        <v>32</v>
      </c>
      <c r="I89" s="16" t="s">
        <v>11</v>
      </c>
      <c r="J89" s="16" t="s">
        <v>28</v>
      </c>
      <c r="K89" s="16" t="s">
        <v>29</v>
      </c>
      <c r="L89" s="16"/>
      <c r="M89" s="16"/>
      <c r="N89" s="23" t="str">
        <f>HYPERLINK("http://slimages.macys.com/is/image/MCY/18820132 ")</f>
        <v xml:space="preserve">http://slimages.macys.com/is/image/MCY/18820132 </v>
      </c>
    </row>
    <row r="90" spans="1:14" x14ac:dyDescent="0.25">
      <c r="A90" s="21" t="s">
        <v>2123</v>
      </c>
      <c r="B90" s="16" t="s">
        <v>2124</v>
      </c>
      <c r="C90" s="17">
        <v>1</v>
      </c>
      <c r="D90" s="22">
        <v>24.99</v>
      </c>
      <c r="E90" s="22">
        <v>24.99</v>
      </c>
      <c r="F90" s="17" t="s">
        <v>2125</v>
      </c>
      <c r="G90" s="16" t="s">
        <v>86</v>
      </c>
      <c r="H90" s="21" t="s">
        <v>40</v>
      </c>
      <c r="I90" s="16" t="s">
        <v>11</v>
      </c>
      <c r="J90" s="16" t="s">
        <v>28</v>
      </c>
      <c r="K90" s="16" t="s">
        <v>29</v>
      </c>
      <c r="L90" s="16"/>
      <c r="M90" s="16"/>
      <c r="N90" s="23" t="str">
        <f>HYPERLINK("http://slimages.macys.com/is/image/MCY/18457369 ")</f>
        <v xml:space="preserve">http://slimages.macys.com/is/image/MCY/18457369 </v>
      </c>
    </row>
    <row r="91" spans="1:14" x14ac:dyDescent="0.25">
      <c r="A91" s="21" t="s">
        <v>2126</v>
      </c>
      <c r="B91" s="16" t="s">
        <v>2127</v>
      </c>
      <c r="C91" s="17">
        <v>2</v>
      </c>
      <c r="D91" s="22">
        <v>24.99</v>
      </c>
      <c r="E91" s="22">
        <v>49.98</v>
      </c>
      <c r="F91" s="17" t="s">
        <v>2125</v>
      </c>
      <c r="G91" s="16" t="s">
        <v>86</v>
      </c>
      <c r="H91" s="21" t="s">
        <v>55</v>
      </c>
      <c r="I91" s="16" t="s">
        <v>11</v>
      </c>
      <c r="J91" s="16" t="s">
        <v>28</v>
      </c>
      <c r="K91" s="16" t="s">
        <v>29</v>
      </c>
      <c r="L91" s="16"/>
      <c r="M91" s="16"/>
      <c r="N91" s="23" t="str">
        <f>HYPERLINK("http://slimages.macys.com/is/image/MCY/18457369 ")</f>
        <v xml:space="preserve">http://slimages.macys.com/is/image/MCY/18457369 </v>
      </c>
    </row>
    <row r="92" spans="1:14" x14ac:dyDescent="0.25">
      <c r="A92" s="21" t="s">
        <v>2289</v>
      </c>
      <c r="B92" s="16" t="s">
        <v>2290</v>
      </c>
      <c r="C92" s="17">
        <v>2</v>
      </c>
      <c r="D92" s="22">
        <v>11</v>
      </c>
      <c r="E92" s="22">
        <v>22</v>
      </c>
      <c r="F92" s="17">
        <v>976171</v>
      </c>
      <c r="G92" s="16" t="s">
        <v>120</v>
      </c>
      <c r="H92" s="21" t="s">
        <v>55</v>
      </c>
      <c r="I92" s="16" t="s">
        <v>11</v>
      </c>
      <c r="J92" s="16" t="s">
        <v>217</v>
      </c>
      <c r="K92" s="16" t="s">
        <v>221</v>
      </c>
      <c r="L92" s="16" t="s">
        <v>111</v>
      </c>
      <c r="M92" s="16" t="s">
        <v>224</v>
      </c>
      <c r="N92" s="23" t="str">
        <f>HYPERLINK("http://slimages.macys.com/is/image/MCY/8039695 ")</f>
        <v xml:space="preserve">http://slimages.macys.com/is/image/MCY/8039695 </v>
      </c>
    </row>
    <row r="93" spans="1:14" x14ac:dyDescent="0.25">
      <c r="A93" s="21" t="s">
        <v>2291</v>
      </c>
      <c r="B93" s="16" t="s">
        <v>2292</v>
      </c>
      <c r="C93" s="17">
        <v>1</v>
      </c>
      <c r="D93" s="22">
        <v>11</v>
      </c>
      <c r="E93" s="22">
        <v>11</v>
      </c>
      <c r="F93" s="17">
        <v>978289</v>
      </c>
      <c r="G93" s="16" t="s">
        <v>173</v>
      </c>
      <c r="H93" s="21" t="s">
        <v>184</v>
      </c>
      <c r="I93" s="16" t="s">
        <v>11</v>
      </c>
      <c r="J93" s="16" t="s">
        <v>217</v>
      </c>
      <c r="K93" s="16" t="s">
        <v>221</v>
      </c>
      <c r="L93" s="16" t="s">
        <v>111</v>
      </c>
      <c r="M93" s="16" t="s">
        <v>229</v>
      </c>
      <c r="N93" s="23" t="str">
        <f>HYPERLINK("http://slimages.macys.com/is/image/MCY/12712300 ")</f>
        <v xml:space="preserve">http://slimages.macys.com/is/image/MCY/12712300 </v>
      </c>
    </row>
    <row r="94" spans="1:14" x14ac:dyDescent="0.25">
      <c r="A94" s="21" t="s">
        <v>2141</v>
      </c>
      <c r="B94" s="16" t="s">
        <v>2142</v>
      </c>
      <c r="C94" s="17">
        <v>1</v>
      </c>
      <c r="D94" s="22">
        <v>32</v>
      </c>
      <c r="E94" s="22">
        <v>32</v>
      </c>
      <c r="F94" s="17" t="s">
        <v>119</v>
      </c>
      <c r="G94" s="16" t="s">
        <v>31</v>
      </c>
      <c r="H94" s="21" t="s">
        <v>724</v>
      </c>
      <c r="I94" s="16" t="s">
        <v>11</v>
      </c>
      <c r="J94" s="16" t="s">
        <v>109</v>
      </c>
      <c r="K94" s="16" t="s">
        <v>110</v>
      </c>
      <c r="L94" s="16" t="s">
        <v>111</v>
      </c>
      <c r="M94" s="16" t="s">
        <v>113</v>
      </c>
      <c r="N94" s="23" t="str">
        <f>HYPERLINK("http://slimages.macys.com/is/image/MCY/3973483 ")</f>
        <v xml:space="preserve">http://slimages.macys.com/is/image/MCY/3973483 </v>
      </c>
    </row>
    <row r="95" spans="1:14" x14ac:dyDescent="0.25">
      <c r="A95" s="21" t="s">
        <v>2661</v>
      </c>
      <c r="B95" s="16" t="s">
        <v>2662</v>
      </c>
      <c r="C95" s="17">
        <v>1</v>
      </c>
      <c r="D95" s="22">
        <v>9.3000000000000007</v>
      </c>
      <c r="E95" s="22">
        <v>9.3000000000000007</v>
      </c>
      <c r="F95" s="17" t="s">
        <v>1706</v>
      </c>
      <c r="G95" s="16" t="s">
        <v>31</v>
      </c>
      <c r="H95" s="21" t="s">
        <v>1707</v>
      </c>
      <c r="I95" s="16" t="s">
        <v>11</v>
      </c>
      <c r="J95" s="16" t="s">
        <v>412</v>
      </c>
      <c r="K95" s="16" t="s">
        <v>110</v>
      </c>
      <c r="L95" s="16" t="s">
        <v>111</v>
      </c>
      <c r="M95" s="16" t="s">
        <v>113</v>
      </c>
      <c r="N95" s="23" t="str">
        <f>HYPERLINK("http://slimages.macys.com/is/image/MCY/1199108 ")</f>
        <v xml:space="preserve">http://slimages.macys.com/is/image/MCY/1199108 </v>
      </c>
    </row>
    <row r="96" spans="1:14" x14ac:dyDescent="0.25">
      <c r="A96" s="21" t="s">
        <v>2659</v>
      </c>
      <c r="B96" s="16" t="s">
        <v>2660</v>
      </c>
      <c r="C96" s="17">
        <v>1</v>
      </c>
      <c r="D96" s="22">
        <v>9.3000000000000007</v>
      </c>
      <c r="E96" s="22">
        <v>9.3000000000000007</v>
      </c>
      <c r="F96" s="17" t="s">
        <v>1706</v>
      </c>
      <c r="G96" s="16" t="s">
        <v>31</v>
      </c>
      <c r="H96" s="21" t="s">
        <v>422</v>
      </c>
      <c r="I96" s="16" t="s">
        <v>11</v>
      </c>
      <c r="J96" s="16" t="s">
        <v>412</v>
      </c>
      <c r="K96" s="16" t="s">
        <v>110</v>
      </c>
      <c r="L96" s="16" t="s">
        <v>111</v>
      </c>
      <c r="M96" s="16" t="s">
        <v>113</v>
      </c>
      <c r="N96" s="23" t="str">
        <f>HYPERLINK("http://slimages.macys.com/is/image/MCY/1199108 ")</f>
        <v xml:space="preserve">http://slimages.macys.com/is/image/MCY/1199108 </v>
      </c>
    </row>
    <row r="97" spans="1:14" x14ac:dyDescent="0.25">
      <c r="A97" s="21" t="s">
        <v>2481</v>
      </c>
      <c r="B97" s="16" t="s">
        <v>2482</v>
      </c>
      <c r="C97" s="17">
        <v>1</v>
      </c>
      <c r="D97" s="22">
        <v>120</v>
      </c>
      <c r="E97" s="22">
        <v>120</v>
      </c>
      <c r="F97" s="17" t="s">
        <v>2483</v>
      </c>
      <c r="G97" s="16" t="s">
        <v>62</v>
      </c>
      <c r="H97" s="21" t="s">
        <v>40</v>
      </c>
      <c r="I97" s="16" t="s">
        <v>11</v>
      </c>
      <c r="J97" s="16" t="s">
        <v>343</v>
      </c>
      <c r="K97" s="16" t="s">
        <v>765</v>
      </c>
      <c r="L97" s="16"/>
      <c r="M97" s="16"/>
      <c r="N97" s="23" t="str">
        <f>HYPERLINK("http://slimages.macys.com/is/image/MCY/17428162 ")</f>
        <v xml:space="preserve">http://slimages.macys.com/is/image/MCY/17428162 </v>
      </c>
    </row>
    <row r="98" spans="1:14" x14ac:dyDescent="0.25">
      <c r="A98" s="21" t="s">
        <v>556</v>
      </c>
      <c r="B98" s="16" t="s">
        <v>557</v>
      </c>
      <c r="C98" s="17">
        <v>1</v>
      </c>
      <c r="D98" s="22">
        <v>25.99</v>
      </c>
      <c r="E98" s="22">
        <v>25.99</v>
      </c>
      <c r="F98" s="17" t="s">
        <v>558</v>
      </c>
      <c r="G98" s="16" t="s">
        <v>559</v>
      </c>
      <c r="H98" s="21" t="s">
        <v>55</v>
      </c>
      <c r="I98" s="16" t="s">
        <v>11</v>
      </c>
      <c r="J98" s="16" t="s">
        <v>539</v>
      </c>
      <c r="K98" s="16" t="s">
        <v>560</v>
      </c>
      <c r="L98" s="16"/>
      <c r="M98" s="16"/>
      <c r="N98" s="23" t="str">
        <f>HYPERLINK("http://slimages.macys.com/is/image/MCY/19859046 ")</f>
        <v xml:space="preserve">http://slimages.macys.com/is/image/MCY/19859046 </v>
      </c>
    </row>
    <row r="99" spans="1:14" x14ac:dyDescent="0.25">
      <c r="A99" s="21" t="s">
        <v>2751</v>
      </c>
      <c r="B99" s="16" t="s">
        <v>2752</v>
      </c>
      <c r="C99" s="17">
        <v>2</v>
      </c>
      <c r="D99" s="22">
        <v>25.99</v>
      </c>
      <c r="E99" s="22">
        <v>51.98</v>
      </c>
      <c r="F99" s="17" t="s">
        <v>2753</v>
      </c>
      <c r="G99" s="16" t="s">
        <v>559</v>
      </c>
      <c r="H99" s="21" t="s">
        <v>40</v>
      </c>
      <c r="I99" s="16" t="s">
        <v>11</v>
      </c>
      <c r="J99" s="16" t="s">
        <v>539</v>
      </c>
      <c r="K99" s="16" t="s">
        <v>560</v>
      </c>
      <c r="L99" s="16"/>
      <c r="M99" s="16"/>
      <c r="N99" s="23" t="str">
        <f>HYPERLINK("http://slimages.macys.com/is/image/MCY/19859529 ")</f>
        <v xml:space="preserve">http://slimages.macys.com/is/image/MCY/19859529 </v>
      </c>
    </row>
    <row r="100" spans="1:14" x14ac:dyDescent="0.25">
      <c r="A100" s="21" t="s">
        <v>2265</v>
      </c>
      <c r="B100" s="16" t="s">
        <v>2266</v>
      </c>
      <c r="C100" s="17">
        <v>2</v>
      </c>
      <c r="D100" s="22">
        <v>29.5</v>
      </c>
      <c r="E100" s="22">
        <v>59</v>
      </c>
      <c r="F100" s="17" t="s">
        <v>175</v>
      </c>
      <c r="G100" s="16" t="s">
        <v>122</v>
      </c>
      <c r="H100" s="21" t="s">
        <v>40</v>
      </c>
      <c r="I100" s="16" t="s">
        <v>11</v>
      </c>
      <c r="J100" s="16" t="s">
        <v>142</v>
      </c>
      <c r="K100" s="16" t="s">
        <v>143</v>
      </c>
      <c r="L100" s="16"/>
      <c r="M100" s="16"/>
      <c r="N100" s="23" t="str">
        <f>HYPERLINK("http://slimages.macys.com/is/image/MCY/19975469 ")</f>
        <v xml:space="preserve">http://slimages.macys.com/is/image/MCY/19975469 </v>
      </c>
    </row>
    <row r="101" spans="1:14" x14ac:dyDescent="0.25">
      <c r="A101" s="21" t="s">
        <v>720</v>
      </c>
      <c r="B101" s="16" t="s">
        <v>721</v>
      </c>
      <c r="C101" s="17">
        <v>1</v>
      </c>
      <c r="D101" s="22">
        <v>11.67</v>
      </c>
      <c r="E101" s="22">
        <v>11.67</v>
      </c>
      <c r="F101" s="17" t="s">
        <v>187</v>
      </c>
      <c r="G101" s="16" t="s">
        <v>26</v>
      </c>
      <c r="H101" s="21" t="s">
        <v>27</v>
      </c>
      <c r="I101" s="16" t="s">
        <v>11</v>
      </c>
      <c r="J101" s="16" t="s">
        <v>142</v>
      </c>
      <c r="K101" s="16" t="s">
        <v>143</v>
      </c>
      <c r="L101" s="16" t="s">
        <v>111</v>
      </c>
      <c r="M101" s="16" t="s">
        <v>167</v>
      </c>
      <c r="N101" s="23" t="str">
        <f>HYPERLINK("http://slimages.macys.com/is/image/MCY/8808233 ")</f>
        <v xml:space="preserve">http://slimages.macys.com/is/image/MCY/8808233 </v>
      </c>
    </row>
    <row r="102" spans="1:14" x14ac:dyDescent="0.25">
      <c r="A102" s="21" t="s">
        <v>2286</v>
      </c>
      <c r="B102" s="16" t="s">
        <v>2287</v>
      </c>
      <c r="C102" s="17">
        <v>1</v>
      </c>
      <c r="D102" s="22">
        <v>11.67</v>
      </c>
      <c r="E102" s="22">
        <v>11.67</v>
      </c>
      <c r="F102" s="17" t="s">
        <v>187</v>
      </c>
      <c r="G102" s="16" t="s">
        <v>26</v>
      </c>
      <c r="H102" s="21" t="s">
        <v>47</v>
      </c>
      <c r="I102" s="16" t="s">
        <v>11</v>
      </c>
      <c r="J102" s="16" t="s">
        <v>142</v>
      </c>
      <c r="K102" s="16" t="s">
        <v>143</v>
      </c>
      <c r="L102" s="16" t="s">
        <v>111</v>
      </c>
      <c r="M102" s="16" t="s">
        <v>167</v>
      </c>
      <c r="N102" s="23" t="str">
        <f>HYPERLINK("http://slimages.macys.com/is/image/MCY/21298342 ")</f>
        <v xml:space="preserve">http://slimages.macys.com/is/image/MCY/21298342 </v>
      </c>
    </row>
    <row r="103" spans="1:14" x14ac:dyDescent="0.25">
      <c r="A103" s="21" t="s">
        <v>2260</v>
      </c>
      <c r="B103" s="16" t="s">
        <v>2261</v>
      </c>
      <c r="C103" s="17">
        <v>1</v>
      </c>
      <c r="D103" s="22">
        <v>36</v>
      </c>
      <c r="E103" s="22">
        <v>36</v>
      </c>
      <c r="F103" s="17" t="s">
        <v>166</v>
      </c>
      <c r="G103" s="16" t="s">
        <v>44</v>
      </c>
      <c r="H103" s="21" t="s">
        <v>32</v>
      </c>
      <c r="I103" s="16" t="s">
        <v>11</v>
      </c>
      <c r="J103" s="16" t="s">
        <v>142</v>
      </c>
      <c r="K103" s="16" t="s">
        <v>143</v>
      </c>
      <c r="L103" s="16"/>
      <c r="M103" s="16"/>
      <c r="N103" s="23" t="str">
        <f>HYPERLINK("http://slimages.macys.com/is/image/MCY/20701449 ")</f>
        <v xml:space="preserve">http://slimages.macys.com/is/image/MCY/20701449 </v>
      </c>
    </row>
    <row r="104" spans="1:14" x14ac:dyDescent="0.25">
      <c r="A104" s="21" t="s">
        <v>1669</v>
      </c>
      <c r="B104" s="16" t="s">
        <v>2262</v>
      </c>
      <c r="C104" s="17">
        <v>1</v>
      </c>
      <c r="D104" s="22">
        <v>26.11</v>
      </c>
      <c r="E104" s="22">
        <v>26.11</v>
      </c>
      <c r="F104" s="17" t="s">
        <v>166</v>
      </c>
      <c r="G104" s="16" t="s">
        <v>44</v>
      </c>
      <c r="H104" s="21" t="s">
        <v>40</v>
      </c>
      <c r="I104" s="16" t="s">
        <v>11</v>
      </c>
      <c r="J104" s="16" t="s">
        <v>142</v>
      </c>
      <c r="K104" s="16" t="s">
        <v>143</v>
      </c>
      <c r="L104" s="16"/>
      <c r="M104" s="16"/>
      <c r="N104" s="23" t="str">
        <f>HYPERLINK("http://slimages.macys.com/is/image/MCY/20701449 ")</f>
        <v xml:space="preserve">http://slimages.macys.com/is/image/MCY/20701449 </v>
      </c>
    </row>
    <row r="105" spans="1:14" x14ac:dyDescent="0.25">
      <c r="A105" s="21" t="s">
        <v>164</v>
      </c>
      <c r="B105" s="16" t="s">
        <v>165</v>
      </c>
      <c r="C105" s="17">
        <v>1</v>
      </c>
      <c r="D105" s="22">
        <v>36</v>
      </c>
      <c r="E105" s="22">
        <v>36</v>
      </c>
      <c r="F105" s="17" t="s">
        <v>166</v>
      </c>
      <c r="G105" s="16" t="s">
        <v>44</v>
      </c>
      <c r="H105" s="21" t="s">
        <v>55</v>
      </c>
      <c r="I105" s="16" t="s">
        <v>11</v>
      </c>
      <c r="J105" s="16" t="s">
        <v>142</v>
      </c>
      <c r="K105" s="16" t="s">
        <v>143</v>
      </c>
      <c r="L105" s="16"/>
      <c r="M105" s="16"/>
      <c r="N105" s="23" t="str">
        <f>HYPERLINK("http://slimages.macys.com/is/image/MCY/20701449 ")</f>
        <v xml:space="preserve">http://slimages.macys.com/is/image/MCY/20701449 </v>
      </c>
    </row>
    <row r="106" spans="1:14" x14ac:dyDescent="0.25">
      <c r="A106" s="21" t="s">
        <v>2244</v>
      </c>
      <c r="B106" s="16" t="s">
        <v>2245</v>
      </c>
      <c r="C106" s="17">
        <v>1</v>
      </c>
      <c r="D106" s="22">
        <v>48</v>
      </c>
      <c r="E106" s="22">
        <v>48</v>
      </c>
      <c r="F106" s="17" t="s">
        <v>674</v>
      </c>
      <c r="G106" s="16" t="s">
        <v>31</v>
      </c>
      <c r="H106" s="21" t="s">
        <v>32</v>
      </c>
      <c r="I106" s="16" t="s">
        <v>11</v>
      </c>
      <c r="J106" s="16" t="s">
        <v>142</v>
      </c>
      <c r="K106" s="16" t="s">
        <v>143</v>
      </c>
      <c r="L106" s="16" t="s">
        <v>154</v>
      </c>
      <c r="M106" s="16" t="s">
        <v>1882</v>
      </c>
      <c r="N106" s="23" t="str">
        <f>HYPERLINK("http://images.bloomingdales.com/is/image/BLM/11725404 ")</f>
        <v xml:space="preserve">http://images.bloomingdales.com/is/image/BLM/11725404 </v>
      </c>
    </row>
    <row r="107" spans="1:14" x14ac:dyDescent="0.25">
      <c r="A107" s="21" t="s">
        <v>2242</v>
      </c>
      <c r="B107" s="16" t="s">
        <v>2243</v>
      </c>
      <c r="C107" s="17">
        <v>2</v>
      </c>
      <c r="D107" s="22">
        <v>48</v>
      </c>
      <c r="E107" s="22">
        <v>96</v>
      </c>
      <c r="F107" s="17" t="s">
        <v>674</v>
      </c>
      <c r="G107" s="16" t="s">
        <v>488</v>
      </c>
      <c r="H107" s="21" t="s">
        <v>55</v>
      </c>
      <c r="I107" s="16" t="s">
        <v>11</v>
      </c>
      <c r="J107" s="16" t="s">
        <v>142</v>
      </c>
      <c r="K107" s="16" t="s">
        <v>143</v>
      </c>
      <c r="L107" s="16" t="s">
        <v>154</v>
      </c>
      <c r="M107" s="16" t="s">
        <v>1882</v>
      </c>
      <c r="N107" s="23" t="str">
        <f>HYPERLINK("http://images.bloomingdales.com/is/image/BLM/11725404 ")</f>
        <v xml:space="preserve">http://images.bloomingdales.com/is/image/BLM/11725404 </v>
      </c>
    </row>
    <row r="108" spans="1:14" x14ac:dyDescent="0.25">
      <c r="A108" s="21" t="s">
        <v>714</v>
      </c>
      <c r="B108" s="16" t="s">
        <v>715</v>
      </c>
      <c r="C108" s="17">
        <v>1</v>
      </c>
      <c r="D108" s="22">
        <v>11.67</v>
      </c>
      <c r="E108" s="22">
        <v>11.67</v>
      </c>
      <c r="F108" s="17" t="s">
        <v>190</v>
      </c>
      <c r="G108" s="16" t="s">
        <v>31</v>
      </c>
      <c r="H108" s="21" t="s">
        <v>47</v>
      </c>
      <c r="I108" s="16" t="s">
        <v>11</v>
      </c>
      <c r="J108" s="16" t="s">
        <v>142</v>
      </c>
      <c r="K108" s="16" t="s">
        <v>143</v>
      </c>
      <c r="L108" s="16" t="s">
        <v>111</v>
      </c>
      <c r="M108" s="16" t="s">
        <v>186</v>
      </c>
      <c r="N108" s="23" t="str">
        <f>HYPERLINK("http://slimages.macys.com/is/image/MCY/13042320 ")</f>
        <v xml:space="preserve">http://slimages.macys.com/is/image/MCY/13042320 </v>
      </c>
    </row>
    <row r="109" spans="1:14" x14ac:dyDescent="0.25">
      <c r="A109" s="21" t="s">
        <v>955</v>
      </c>
      <c r="B109" s="16" t="s">
        <v>956</v>
      </c>
      <c r="C109" s="17">
        <v>1</v>
      </c>
      <c r="D109" s="22">
        <v>11.67</v>
      </c>
      <c r="E109" s="22">
        <v>11.67</v>
      </c>
      <c r="F109" s="17" t="s">
        <v>193</v>
      </c>
      <c r="G109" s="16" t="s">
        <v>125</v>
      </c>
      <c r="H109" s="21" t="s">
        <v>32</v>
      </c>
      <c r="I109" s="16" t="s">
        <v>11</v>
      </c>
      <c r="J109" s="16" t="s">
        <v>142</v>
      </c>
      <c r="K109" s="16" t="s">
        <v>143</v>
      </c>
      <c r="L109" s="16" t="s">
        <v>111</v>
      </c>
      <c r="M109" s="16" t="s">
        <v>192</v>
      </c>
      <c r="N109" s="23" t="str">
        <f>HYPERLINK("http://slimages.macys.com/is/image/MCY/1734351 ")</f>
        <v xml:space="preserve">http://slimages.macys.com/is/image/MCY/1734351 </v>
      </c>
    </row>
    <row r="110" spans="1:14" x14ac:dyDescent="0.25">
      <c r="A110" s="21" t="s">
        <v>203</v>
      </c>
      <c r="B110" s="16" t="s">
        <v>204</v>
      </c>
      <c r="C110" s="17">
        <v>1</v>
      </c>
      <c r="D110" s="22">
        <v>26.11</v>
      </c>
      <c r="E110" s="22">
        <v>26.11</v>
      </c>
      <c r="F110" s="17" t="s">
        <v>193</v>
      </c>
      <c r="G110" s="16" t="s">
        <v>125</v>
      </c>
      <c r="H110" s="21" t="s">
        <v>27</v>
      </c>
      <c r="I110" s="16" t="s">
        <v>11</v>
      </c>
      <c r="J110" s="16" t="s">
        <v>142</v>
      </c>
      <c r="K110" s="16" t="s">
        <v>143</v>
      </c>
      <c r="L110" s="16" t="s">
        <v>111</v>
      </c>
      <c r="M110" s="16" t="s">
        <v>192</v>
      </c>
      <c r="N110" s="23" t="str">
        <f>HYPERLINK("http://slimages.macys.com/is/image/MCY/1734351 ")</f>
        <v xml:space="preserve">http://slimages.macys.com/is/image/MCY/1734351 </v>
      </c>
    </row>
    <row r="111" spans="1:14" x14ac:dyDescent="0.25">
      <c r="A111" s="21" t="s">
        <v>1172</v>
      </c>
      <c r="B111" s="16" t="s">
        <v>1173</v>
      </c>
      <c r="C111" s="17">
        <v>1</v>
      </c>
      <c r="D111" s="22">
        <v>11.67</v>
      </c>
      <c r="E111" s="22">
        <v>11.67</v>
      </c>
      <c r="F111" s="17" t="s">
        <v>193</v>
      </c>
      <c r="G111" s="16" t="s">
        <v>238</v>
      </c>
      <c r="H111" s="21" t="s">
        <v>32</v>
      </c>
      <c r="I111" s="16" t="s">
        <v>11</v>
      </c>
      <c r="J111" s="16" t="s">
        <v>142</v>
      </c>
      <c r="K111" s="16" t="s">
        <v>143</v>
      </c>
      <c r="L111" s="16"/>
      <c r="M111" s="16"/>
      <c r="N111" s="23" t="str">
        <f>HYPERLINK("http://slimages.macys.com/is/image/MCY/20530029 ")</f>
        <v xml:space="preserve">http://slimages.macys.com/is/image/MCY/20530029 </v>
      </c>
    </row>
    <row r="112" spans="1:14" x14ac:dyDescent="0.25">
      <c r="A112" s="21" t="s">
        <v>2256</v>
      </c>
      <c r="B112" s="16" t="s">
        <v>2257</v>
      </c>
      <c r="C112" s="17">
        <v>1</v>
      </c>
      <c r="D112" s="22">
        <v>44</v>
      </c>
      <c r="E112" s="22">
        <v>44</v>
      </c>
      <c r="F112" s="17" t="s">
        <v>681</v>
      </c>
      <c r="G112" s="16" t="s">
        <v>127</v>
      </c>
      <c r="H112" s="21" t="s">
        <v>724</v>
      </c>
      <c r="I112" s="16" t="s">
        <v>11</v>
      </c>
      <c r="J112" s="16" t="s">
        <v>142</v>
      </c>
      <c r="K112" s="16" t="s">
        <v>143</v>
      </c>
      <c r="L112" s="16" t="s">
        <v>111</v>
      </c>
      <c r="M112" s="16" t="s">
        <v>682</v>
      </c>
      <c r="N112" s="23" t="str">
        <f>HYPERLINK("http://slimages.macys.com/is/image/MCY/15693672 ")</f>
        <v xml:space="preserve">http://slimages.macys.com/is/image/MCY/15693672 </v>
      </c>
    </row>
    <row r="113" spans="1:14" x14ac:dyDescent="0.25">
      <c r="A113" s="21" t="s">
        <v>2252</v>
      </c>
      <c r="B113" s="16" t="s">
        <v>2253</v>
      </c>
      <c r="C113" s="17">
        <v>1</v>
      </c>
      <c r="D113" s="22">
        <v>44</v>
      </c>
      <c r="E113" s="22">
        <v>44</v>
      </c>
      <c r="F113" s="17" t="s">
        <v>681</v>
      </c>
      <c r="G113" s="16" t="s">
        <v>31</v>
      </c>
      <c r="H113" s="21" t="s">
        <v>108</v>
      </c>
      <c r="I113" s="16" t="s">
        <v>11</v>
      </c>
      <c r="J113" s="16" t="s">
        <v>142</v>
      </c>
      <c r="K113" s="16" t="s">
        <v>143</v>
      </c>
      <c r="L113" s="16" t="s">
        <v>111</v>
      </c>
      <c r="M113" s="16" t="s">
        <v>682</v>
      </c>
      <c r="N113" s="23" t="str">
        <f>HYPERLINK("http://slimages.macys.com/is/image/MCY/15693672 ")</f>
        <v xml:space="preserve">http://slimages.macys.com/is/image/MCY/15693672 </v>
      </c>
    </row>
    <row r="114" spans="1:14" x14ac:dyDescent="0.25">
      <c r="A114" s="21" t="s">
        <v>2231</v>
      </c>
      <c r="B114" s="16" t="s">
        <v>2232</v>
      </c>
      <c r="C114" s="17">
        <v>1</v>
      </c>
      <c r="D114" s="22">
        <v>26.11</v>
      </c>
      <c r="E114" s="22">
        <v>26.11</v>
      </c>
      <c r="F114" s="17" t="s">
        <v>2233</v>
      </c>
      <c r="G114" s="16" t="s">
        <v>78</v>
      </c>
      <c r="H114" s="21" t="s">
        <v>108</v>
      </c>
      <c r="I114" s="16" t="s">
        <v>11</v>
      </c>
      <c r="J114" s="16" t="s">
        <v>142</v>
      </c>
      <c r="K114" s="16" t="s">
        <v>143</v>
      </c>
      <c r="L114" s="16"/>
      <c r="M114" s="16"/>
      <c r="N114" s="23" t="str">
        <f>HYPERLINK("http://slimages.macys.com/is/image/MCY/18500429 ")</f>
        <v xml:space="preserve">http://slimages.macys.com/is/image/MCY/18500429 </v>
      </c>
    </row>
    <row r="115" spans="1:14" x14ac:dyDescent="0.25">
      <c r="A115" s="21" t="s">
        <v>2228</v>
      </c>
      <c r="B115" s="16" t="s">
        <v>2229</v>
      </c>
      <c r="C115" s="17">
        <v>1</v>
      </c>
      <c r="D115" s="22">
        <v>49</v>
      </c>
      <c r="E115" s="22">
        <v>49</v>
      </c>
      <c r="F115" s="17" t="s">
        <v>665</v>
      </c>
      <c r="G115" s="16" t="s">
        <v>83</v>
      </c>
      <c r="H115" s="21" t="s">
        <v>158</v>
      </c>
      <c r="I115" s="16" t="s">
        <v>11</v>
      </c>
      <c r="J115" s="16" t="s">
        <v>142</v>
      </c>
      <c r="K115" s="16" t="s">
        <v>143</v>
      </c>
      <c r="L115" s="16" t="s">
        <v>111</v>
      </c>
      <c r="M115" s="16" t="s">
        <v>2230</v>
      </c>
      <c r="N115" s="23" t="str">
        <f>HYPERLINK("http://slimages.macys.com/is/image/MCY/16329180 ")</f>
        <v xml:space="preserve">http://slimages.macys.com/is/image/MCY/16329180 </v>
      </c>
    </row>
    <row r="116" spans="1:14" x14ac:dyDescent="0.25">
      <c r="A116" s="21" t="s">
        <v>1164</v>
      </c>
      <c r="B116" s="16" t="s">
        <v>1165</v>
      </c>
      <c r="C116" s="17">
        <v>8</v>
      </c>
      <c r="D116" s="22">
        <v>49</v>
      </c>
      <c r="E116" s="22">
        <v>392</v>
      </c>
      <c r="F116" s="17" t="s">
        <v>665</v>
      </c>
      <c r="G116" s="16" t="s">
        <v>62</v>
      </c>
      <c r="H116" s="21" t="s">
        <v>149</v>
      </c>
      <c r="I116" s="16" t="s">
        <v>11</v>
      </c>
      <c r="J116" s="16" t="s">
        <v>142</v>
      </c>
      <c r="K116" s="16" t="s">
        <v>143</v>
      </c>
      <c r="L116" s="16" t="s">
        <v>111</v>
      </c>
      <c r="M116" s="16" t="s">
        <v>666</v>
      </c>
      <c r="N116" s="23" t="str">
        <f>HYPERLINK("http://slimages.macys.com/is/image/MCY/16329180 ")</f>
        <v xml:space="preserve">http://slimages.macys.com/is/image/MCY/16329180 </v>
      </c>
    </row>
    <row r="117" spans="1:14" x14ac:dyDescent="0.25">
      <c r="A117" s="21" t="s">
        <v>663</v>
      </c>
      <c r="B117" s="16" t="s">
        <v>664</v>
      </c>
      <c r="C117" s="17">
        <v>3</v>
      </c>
      <c r="D117" s="22">
        <v>49</v>
      </c>
      <c r="E117" s="22">
        <v>147</v>
      </c>
      <c r="F117" s="17" t="s">
        <v>665</v>
      </c>
      <c r="G117" s="16" t="s">
        <v>62</v>
      </c>
      <c r="H117" s="21" t="s">
        <v>286</v>
      </c>
      <c r="I117" s="16" t="s">
        <v>11</v>
      </c>
      <c r="J117" s="16" t="s">
        <v>142</v>
      </c>
      <c r="K117" s="16" t="s">
        <v>143</v>
      </c>
      <c r="L117" s="16" t="s">
        <v>111</v>
      </c>
      <c r="M117" s="16" t="s">
        <v>666</v>
      </c>
      <c r="N117" s="23" t="str">
        <f>HYPERLINK("http://slimages.macys.com/is/image/MCY/16329180 ")</f>
        <v xml:space="preserve">http://slimages.macys.com/is/image/MCY/16329180 </v>
      </c>
    </row>
    <row r="118" spans="1:14" x14ac:dyDescent="0.25">
      <c r="A118" s="21" t="s">
        <v>667</v>
      </c>
      <c r="B118" s="16" t="s">
        <v>668</v>
      </c>
      <c r="C118" s="17">
        <v>6</v>
      </c>
      <c r="D118" s="22">
        <v>49</v>
      </c>
      <c r="E118" s="22">
        <v>294</v>
      </c>
      <c r="F118" s="17" t="s">
        <v>665</v>
      </c>
      <c r="G118" s="16" t="s">
        <v>62</v>
      </c>
      <c r="H118" s="21" t="s">
        <v>158</v>
      </c>
      <c r="I118" s="16" t="s">
        <v>11</v>
      </c>
      <c r="J118" s="16" t="s">
        <v>142</v>
      </c>
      <c r="K118" s="16" t="s">
        <v>143</v>
      </c>
      <c r="L118" s="16" t="s">
        <v>111</v>
      </c>
      <c r="M118" s="16" t="s">
        <v>666</v>
      </c>
      <c r="N118" s="23" t="str">
        <f>HYPERLINK("http://slimages.macys.com/is/image/MCY/16329180 ")</f>
        <v xml:space="preserve">http://slimages.macys.com/is/image/MCY/16329180 </v>
      </c>
    </row>
    <row r="119" spans="1:14" x14ac:dyDescent="0.25">
      <c r="A119" s="21" t="s">
        <v>2263</v>
      </c>
      <c r="B119" s="16" t="s">
        <v>2264</v>
      </c>
      <c r="C119" s="17">
        <v>1</v>
      </c>
      <c r="D119" s="22">
        <v>36</v>
      </c>
      <c r="E119" s="22">
        <v>36</v>
      </c>
      <c r="F119" s="17" t="s">
        <v>1670</v>
      </c>
      <c r="G119" s="16" t="s">
        <v>62</v>
      </c>
      <c r="H119" s="21" t="s">
        <v>40</v>
      </c>
      <c r="I119" s="16" t="s">
        <v>11</v>
      </c>
      <c r="J119" s="16" t="s">
        <v>142</v>
      </c>
      <c r="K119" s="16" t="s">
        <v>143</v>
      </c>
      <c r="L119" s="16"/>
      <c r="M119" s="16"/>
      <c r="N119" s="23" t="str">
        <f>HYPERLINK("http://slimages.macys.com/is/image/MCY/20795621 ")</f>
        <v xml:space="preserve">http://slimages.macys.com/is/image/MCY/20795621 </v>
      </c>
    </row>
    <row r="120" spans="1:14" x14ac:dyDescent="0.25">
      <c r="A120" s="21" t="s">
        <v>2220</v>
      </c>
      <c r="B120" s="16" t="s">
        <v>2221</v>
      </c>
      <c r="C120" s="17">
        <v>2</v>
      </c>
      <c r="D120" s="22">
        <v>56</v>
      </c>
      <c r="E120" s="22">
        <v>112</v>
      </c>
      <c r="F120" s="17" t="s">
        <v>951</v>
      </c>
      <c r="G120" s="16" t="s">
        <v>83</v>
      </c>
      <c r="H120" s="21" t="s">
        <v>40</v>
      </c>
      <c r="I120" s="16" t="s">
        <v>11</v>
      </c>
      <c r="J120" s="16" t="s">
        <v>142</v>
      </c>
      <c r="K120" s="16" t="s">
        <v>143</v>
      </c>
      <c r="L120" s="16" t="s">
        <v>685</v>
      </c>
      <c r="M120" s="16" t="s">
        <v>686</v>
      </c>
      <c r="N120" s="23" t="str">
        <f>HYPERLINK("http://images.bloomingdales.com/is/image/BLM/11428250 ")</f>
        <v xml:space="preserve">http://images.bloomingdales.com/is/image/BLM/11428250 </v>
      </c>
    </row>
    <row r="121" spans="1:14" x14ac:dyDescent="0.25">
      <c r="A121" s="21" t="s">
        <v>2218</v>
      </c>
      <c r="B121" s="16" t="s">
        <v>2219</v>
      </c>
      <c r="C121" s="17">
        <v>3</v>
      </c>
      <c r="D121" s="22">
        <v>56</v>
      </c>
      <c r="E121" s="22">
        <v>168</v>
      </c>
      <c r="F121" s="17" t="s">
        <v>951</v>
      </c>
      <c r="G121" s="16" t="s">
        <v>83</v>
      </c>
      <c r="H121" s="21" t="s">
        <v>55</v>
      </c>
      <c r="I121" s="16" t="s">
        <v>11</v>
      </c>
      <c r="J121" s="16" t="s">
        <v>142</v>
      </c>
      <c r="K121" s="16" t="s">
        <v>143</v>
      </c>
      <c r="L121" s="16"/>
      <c r="M121" s="16"/>
      <c r="N121" s="23" t="str">
        <f>HYPERLINK("http://slimages.macys.com/is/image/MCY/19148625 ")</f>
        <v xml:space="preserve">http://slimages.macys.com/is/image/MCY/19148625 </v>
      </c>
    </row>
    <row r="122" spans="1:14" x14ac:dyDescent="0.25">
      <c r="A122" s="21" t="s">
        <v>2222</v>
      </c>
      <c r="B122" s="16" t="s">
        <v>2223</v>
      </c>
      <c r="C122" s="17">
        <v>2</v>
      </c>
      <c r="D122" s="22">
        <v>26.11</v>
      </c>
      <c r="E122" s="22">
        <v>52.22</v>
      </c>
      <c r="F122" s="17" t="s">
        <v>951</v>
      </c>
      <c r="G122" s="16" t="s">
        <v>83</v>
      </c>
      <c r="H122" s="21" t="s">
        <v>27</v>
      </c>
      <c r="I122" s="16" t="s">
        <v>11</v>
      </c>
      <c r="J122" s="16" t="s">
        <v>142</v>
      </c>
      <c r="K122" s="16" t="s">
        <v>143</v>
      </c>
      <c r="L122" s="16" t="s">
        <v>685</v>
      </c>
      <c r="M122" s="16" t="s">
        <v>686</v>
      </c>
      <c r="N122" s="23" t="str">
        <f>HYPERLINK("http://images.bloomingdales.com/is/image/BLM/11428250 ")</f>
        <v xml:space="preserve">http://images.bloomingdales.com/is/image/BLM/11428250 </v>
      </c>
    </row>
    <row r="123" spans="1:14" x14ac:dyDescent="0.25">
      <c r="A123" s="21" t="s">
        <v>2226</v>
      </c>
      <c r="B123" s="16" t="s">
        <v>2227</v>
      </c>
      <c r="C123" s="17">
        <v>1</v>
      </c>
      <c r="D123" s="22">
        <v>56</v>
      </c>
      <c r="E123" s="22">
        <v>56</v>
      </c>
      <c r="F123" s="17" t="s">
        <v>951</v>
      </c>
      <c r="G123" s="16" t="s">
        <v>83</v>
      </c>
      <c r="H123" s="21" t="s">
        <v>32</v>
      </c>
      <c r="I123" s="16" t="s">
        <v>11</v>
      </c>
      <c r="J123" s="16" t="s">
        <v>142</v>
      </c>
      <c r="K123" s="16" t="s">
        <v>143</v>
      </c>
      <c r="L123" s="16" t="s">
        <v>685</v>
      </c>
      <c r="M123" s="16" t="s">
        <v>686</v>
      </c>
      <c r="N123" s="23" t="str">
        <f>HYPERLINK("http://images.bloomingdales.com/is/image/BLM/11428250 ")</f>
        <v xml:space="preserve">http://images.bloomingdales.com/is/image/BLM/11428250 </v>
      </c>
    </row>
    <row r="124" spans="1:14" x14ac:dyDescent="0.25">
      <c r="A124" s="21" t="s">
        <v>2224</v>
      </c>
      <c r="B124" s="16" t="s">
        <v>2225</v>
      </c>
      <c r="C124" s="17">
        <v>1</v>
      </c>
      <c r="D124" s="22">
        <v>56</v>
      </c>
      <c r="E124" s="22">
        <v>56</v>
      </c>
      <c r="F124" s="17" t="s">
        <v>951</v>
      </c>
      <c r="G124" s="16" t="s">
        <v>83</v>
      </c>
      <c r="H124" s="21" t="s">
        <v>55</v>
      </c>
      <c r="I124" s="16" t="s">
        <v>11</v>
      </c>
      <c r="J124" s="16" t="s">
        <v>142</v>
      </c>
      <c r="K124" s="16" t="s">
        <v>143</v>
      </c>
      <c r="L124" s="16"/>
      <c r="M124" s="16"/>
      <c r="N124" s="23" t="str">
        <f>HYPERLINK("http://slimages.macys.com/is/image/MCY/19148625 ")</f>
        <v xml:space="preserve">http://slimages.macys.com/is/image/MCY/19148625 </v>
      </c>
    </row>
    <row r="125" spans="1:14" x14ac:dyDescent="0.25">
      <c r="A125" s="21" t="s">
        <v>689</v>
      </c>
      <c r="B125" s="16" t="s">
        <v>690</v>
      </c>
      <c r="C125" s="17">
        <v>1</v>
      </c>
      <c r="D125" s="22">
        <v>42</v>
      </c>
      <c r="E125" s="22">
        <v>42</v>
      </c>
      <c r="F125" s="17" t="s">
        <v>157</v>
      </c>
      <c r="G125" s="16" t="s">
        <v>83</v>
      </c>
      <c r="H125" s="21" t="s">
        <v>27</v>
      </c>
      <c r="I125" s="16" t="s">
        <v>11</v>
      </c>
      <c r="J125" s="16" t="s">
        <v>142</v>
      </c>
      <c r="K125" s="16" t="s">
        <v>143</v>
      </c>
      <c r="L125" s="16" t="s">
        <v>685</v>
      </c>
      <c r="M125" s="16" t="s">
        <v>686</v>
      </c>
      <c r="N125" s="23" t="str">
        <f>HYPERLINK("http://images.bloomingdales.com/is/image/BLM/11428040 ")</f>
        <v xml:space="preserve">http://images.bloomingdales.com/is/image/BLM/11428040 </v>
      </c>
    </row>
    <row r="126" spans="1:14" x14ac:dyDescent="0.25">
      <c r="A126" s="21" t="s">
        <v>2234</v>
      </c>
      <c r="B126" s="16" t="s">
        <v>2235</v>
      </c>
      <c r="C126" s="17">
        <v>1</v>
      </c>
      <c r="D126" s="22">
        <v>26.11</v>
      </c>
      <c r="E126" s="22">
        <v>26.11</v>
      </c>
      <c r="F126" s="17" t="s">
        <v>144</v>
      </c>
      <c r="G126" s="16" t="s">
        <v>78</v>
      </c>
      <c r="H126" s="21" t="s">
        <v>27</v>
      </c>
      <c r="I126" s="16" t="s">
        <v>11</v>
      </c>
      <c r="J126" s="16" t="s">
        <v>142</v>
      </c>
      <c r="K126" s="16" t="s">
        <v>143</v>
      </c>
      <c r="L126" s="16"/>
      <c r="M126" s="16"/>
      <c r="N126" s="23" t="str">
        <f>HYPERLINK("http://slimages.macys.com/is/image/MCY/19975341 ")</f>
        <v xml:space="preserve">http://slimages.macys.com/is/image/MCY/19975341 </v>
      </c>
    </row>
    <row r="127" spans="1:14" x14ac:dyDescent="0.25">
      <c r="A127" s="21" t="s">
        <v>1664</v>
      </c>
      <c r="B127" s="16" t="s">
        <v>2246</v>
      </c>
      <c r="C127" s="17">
        <v>2</v>
      </c>
      <c r="D127" s="22">
        <v>23.04</v>
      </c>
      <c r="E127" s="22">
        <v>46.08</v>
      </c>
      <c r="F127" s="17" t="s">
        <v>144</v>
      </c>
      <c r="G127" s="16" t="s">
        <v>163</v>
      </c>
      <c r="H127" s="21" t="s">
        <v>32</v>
      </c>
      <c r="I127" s="16" t="s">
        <v>11</v>
      </c>
      <c r="J127" s="16" t="s">
        <v>142</v>
      </c>
      <c r="K127" s="16" t="s">
        <v>143</v>
      </c>
      <c r="L127" s="16"/>
      <c r="M127" s="16"/>
      <c r="N127" s="23" t="str">
        <f>HYPERLINK("http://slimages.macys.com/is/image/MCY/19088705 ")</f>
        <v xml:space="preserve">http://slimages.macys.com/is/image/MCY/19088705 </v>
      </c>
    </row>
    <row r="128" spans="1:14" x14ac:dyDescent="0.25">
      <c r="A128" s="21" t="s">
        <v>2236</v>
      </c>
      <c r="B128" s="16" t="s">
        <v>2237</v>
      </c>
      <c r="C128" s="17">
        <v>3</v>
      </c>
      <c r="D128" s="22">
        <v>23.04</v>
      </c>
      <c r="E128" s="22">
        <v>69.12</v>
      </c>
      <c r="F128" s="17" t="s">
        <v>144</v>
      </c>
      <c r="G128" s="16" t="s">
        <v>163</v>
      </c>
      <c r="H128" s="21" t="s">
        <v>40</v>
      </c>
      <c r="I128" s="16" t="s">
        <v>11</v>
      </c>
      <c r="J128" s="16" t="s">
        <v>142</v>
      </c>
      <c r="K128" s="16" t="s">
        <v>143</v>
      </c>
      <c r="L128" s="16"/>
      <c r="M128" s="16"/>
      <c r="N128" s="23" t="str">
        <f>HYPERLINK("http://slimages.macys.com/is/image/MCY/19088705 ")</f>
        <v xml:space="preserve">http://slimages.macys.com/is/image/MCY/19088705 </v>
      </c>
    </row>
    <row r="129" spans="1:14" x14ac:dyDescent="0.25">
      <c r="A129" s="21" t="s">
        <v>2238</v>
      </c>
      <c r="B129" s="16" t="s">
        <v>2239</v>
      </c>
      <c r="C129" s="17">
        <v>2</v>
      </c>
      <c r="D129" s="22">
        <v>23.04</v>
      </c>
      <c r="E129" s="22">
        <v>46.08</v>
      </c>
      <c r="F129" s="17" t="s">
        <v>144</v>
      </c>
      <c r="G129" s="16" t="s">
        <v>163</v>
      </c>
      <c r="H129" s="21" t="s">
        <v>55</v>
      </c>
      <c r="I129" s="16" t="s">
        <v>11</v>
      </c>
      <c r="J129" s="16" t="s">
        <v>142</v>
      </c>
      <c r="K129" s="16" t="s">
        <v>143</v>
      </c>
      <c r="L129" s="16"/>
      <c r="M129" s="16"/>
      <c r="N129" s="23" t="str">
        <f>HYPERLINK("http://slimages.macys.com/is/image/MCY/19088705 ")</f>
        <v xml:space="preserve">http://slimages.macys.com/is/image/MCY/19088705 </v>
      </c>
    </row>
    <row r="130" spans="1:14" x14ac:dyDescent="0.25">
      <c r="A130" s="21" t="s">
        <v>2240</v>
      </c>
      <c r="B130" s="16" t="s">
        <v>2241</v>
      </c>
      <c r="C130" s="17">
        <v>2</v>
      </c>
      <c r="D130" s="22">
        <v>23.04</v>
      </c>
      <c r="E130" s="22">
        <v>46.08</v>
      </c>
      <c r="F130" s="17" t="s">
        <v>144</v>
      </c>
      <c r="G130" s="16" t="s">
        <v>163</v>
      </c>
      <c r="H130" s="21" t="s">
        <v>27</v>
      </c>
      <c r="I130" s="16" t="s">
        <v>11</v>
      </c>
      <c r="J130" s="16" t="s">
        <v>142</v>
      </c>
      <c r="K130" s="16" t="s">
        <v>143</v>
      </c>
      <c r="L130" s="16"/>
      <c r="M130" s="16"/>
      <c r="N130" s="23" t="str">
        <f>HYPERLINK("http://slimages.macys.com/is/image/MCY/19088705 ")</f>
        <v xml:space="preserve">http://slimages.macys.com/is/image/MCY/19088705 </v>
      </c>
    </row>
    <row r="131" spans="1:14" x14ac:dyDescent="0.25">
      <c r="A131" s="21" t="s">
        <v>2215</v>
      </c>
      <c r="B131" s="16" t="s">
        <v>2216</v>
      </c>
      <c r="C131" s="17">
        <v>1</v>
      </c>
      <c r="D131" s="22">
        <v>37.44</v>
      </c>
      <c r="E131" s="22">
        <v>37.44</v>
      </c>
      <c r="F131" s="17" t="s">
        <v>2217</v>
      </c>
      <c r="G131" s="16" t="s">
        <v>78</v>
      </c>
      <c r="H131" s="21"/>
      <c r="I131" s="16" t="s">
        <v>11</v>
      </c>
      <c r="J131" s="16" t="s">
        <v>142</v>
      </c>
      <c r="K131" s="16" t="s">
        <v>143</v>
      </c>
      <c r="L131" s="16"/>
      <c r="M131" s="16"/>
      <c r="N131" s="23" t="str">
        <f>HYPERLINK("http://slimages.macys.com/is/image/MCY/18301191 ")</f>
        <v xml:space="preserve">http://slimages.macys.com/is/image/MCY/18301191 </v>
      </c>
    </row>
    <row r="132" spans="1:14" x14ac:dyDescent="0.25">
      <c r="A132" s="21" t="s">
        <v>2269</v>
      </c>
      <c r="B132" s="16" t="s">
        <v>2270</v>
      </c>
      <c r="C132" s="17">
        <v>1</v>
      </c>
      <c r="D132" s="22">
        <v>22</v>
      </c>
      <c r="E132" s="22">
        <v>22</v>
      </c>
      <c r="F132" s="17" t="s">
        <v>183</v>
      </c>
      <c r="G132" s="16" t="s">
        <v>78</v>
      </c>
      <c r="H132" s="21" t="s">
        <v>55</v>
      </c>
      <c r="I132" s="16" t="s">
        <v>11</v>
      </c>
      <c r="J132" s="16" t="s">
        <v>142</v>
      </c>
      <c r="K132" s="16" t="s">
        <v>143</v>
      </c>
      <c r="L132" s="16" t="s">
        <v>111</v>
      </c>
      <c r="M132" s="16" t="s">
        <v>708</v>
      </c>
      <c r="N132" s="23" t="str">
        <f>HYPERLINK("http://slimages.macys.com/is/image/MCY/17683545 ")</f>
        <v xml:space="preserve">http://slimages.macys.com/is/image/MCY/17683545 </v>
      </c>
    </row>
    <row r="133" spans="1:14" x14ac:dyDescent="0.25">
      <c r="A133" s="21" t="s">
        <v>1673</v>
      </c>
      <c r="B133" s="16" t="s">
        <v>2288</v>
      </c>
      <c r="C133" s="17">
        <v>1</v>
      </c>
      <c r="D133" s="22">
        <v>11.67</v>
      </c>
      <c r="E133" s="22">
        <v>11.67</v>
      </c>
      <c r="F133" s="17" t="s">
        <v>215</v>
      </c>
      <c r="G133" s="16" t="s">
        <v>78</v>
      </c>
      <c r="H133" s="21" t="s">
        <v>40</v>
      </c>
      <c r="I133" s="16" t="s">
        <v>11</v>
      </c>
      <c r="J133" s="16" t="s">
        <v>142</v>
      </c>
      <c r="K133" s="16" t="s">
        <v>143</v>
      </c>
      <c r="L133" s="16"/>
      <c r="M133" s="16"/>
      <c r="N133" s="23" t="str">
        <f>HYPERLINK("http://slimages.macys.com/is/image/MCY/20244394 ")</f>
        <v xml:space="preserve">http://slimages.macys.com/is/image/MCY/20244394 </v>
      </c>
    </row>
    <row r="134" spans="1:14" x14ac:dyDescent="0.25">
      <c r="A134" s="21" t="s">
        <v>2254</v>
      </c>
      <c r="B134" s="16" t="s">
        <v>2255</v>
      </c>
      <c r="C134" s="17">
        <v>1</v>
      </c>
      <c r="D134" s="22">
        <v>44</v>
      </c>
      <c r="E134" s="22">
        <v>44</v>
      </c>
      <c r="F134" s="17" t="s">
        <v>954</v>
      </c>
      <c r="G134" s="16" t="s">
        <v>83</v>
      </c>
      <c r="H134" s="21" t="s">
        <v>55</v>
      </c>
      <c r="I134" s="16" t="s">
        <v>11</v>
      </c>
      <c r="J134" s="16" t="s">
        <v>142</v>
      </c>
      <c r="K134" s="16" t="s">
        <v>143</v>
      </c>
      <c r="L134" s="16" t="s">
        <v>111</v>
      </c>
      <c r="M134" s="16" t="s">
        <v>118</v>
      </c>
      <c r="N134" s="23" t="str">
        <f>HYPERLINK("http://slimages.macys.com/is/image/MCY/15693627 ")</f>
        <v xml:space="preserve">http://slimages.macys.com/is/image/MCY/15693627 </v>
      </c>
    </row>
    <row r="135" spans="1:14" x14ac:dyDescent="0.25">
      <c r="A135" s="21" t="s">
        <v>2250</v>
      </c>
      <c r="B135" s="16" t="s">
        <v>2251</v>
      </c>
      <c r="C135" s="17">
        <v>1</v>
      </c>
      <c r="D135" s="22">
        <v>44</v>
      </c>
      <c r="E135" s="22">
        <v>44</v>
      </c>
      <c r="F135" s="17" t="s">
        <v>954</v>
      </c>
      <c r="G135" s="16" t="s">
        <v>201</v>
      </c>
      <c r="H135" s="21" t="s">
        <v>40</v>
      </c>
      <c r="I135" s="16" t="s">
        <v>11</v>
      </c>
      <c r="J135" s="16" t="s">
        <v>142</v>
      </c>
      <c r="K135" s="16" t="s">
        <v>143</v>
      </c>
      <c r="L135" s="16"/>
      <c r="M135" s="16"/>
      <c r="N135" s="23" t="str">
        <f>HYPERLINK("http://slimages.macys.com/is/image/MCY/20121097 ")</f>
        <v xml:space="preserve">http://slimages.macys.com/is/image/MCY/20121097 </v>
      </c>
    </row>
    <row r="136" spans="1:14" x14ac:dyDescent="0.25">
      <c r="A136" s="21" t="s">
        <v>2212</v>
      </c>
      <c r="B136" s="16" t="s">
        <v>2213</v>
      </c>
      <c r="C136" s="17">
        <v>1</v>
      </c>
      <c r="D136" s="22">
        <v>78</v>
      </c>
      <c r="E136" s="22">
        <v>78</v>
      </c>
      <c r="F136" s="17" t="s">
        <v>1870</v>
      </c>
      <c r="G136" s="16" t="s">
        <v>31</v>
      </c>
      <c r="H136" s="21" t="s">
        <v>2214</v>
      </c>
      <c r="I136" s="16" t="s">
        <v>11</v>
      </c>
      <c r="J136" s="16" t="s">
        <v>142</v>
      </c>
      <c r="K136" s="16" t="s">
        <v>143</v>
      </c>
      <c r="L136" s="16"/>
      <c r="M136" s="16"/>
      <c r="N136" s="23" t="str">
        <f>HYPERLINK("http://slimages.macys.com/is/image/MCY/21001087 ")</f>
        <v xml:space="preserve">http://slimages.macys.com/is/image/MCY/21001087 </v>
      </c>
    </row>
    <row r="137" spans="1:14" x14ac:dyDescent="0.25">
      <c r="A137" s="21" t="s">
        <v>2277</v>
      </c>
      <c r="B137" s="16" t="s">
        <v>2278</v>
      </c>
      <c r="C137" s="17">
        <v>1</v>
      </c>
      <c r="D137" s="22">
        <v>9.6</v>
      </c>
      <c r="E137" s="22">
        <v>9.6</v>
      </c>
      <c r="F137" s="17" t="s">
        <v>2279</v>
      </c>
      <c r="G137" s="16" t="s">
        <v>62</v>
      </c>
      <c r="H137" s="21" t="s">
        <v>55</v>
      </c>
      <c r="I137" s="16" t="s">
        <v>11</v>
      </c>
      <c r="J137" s="16" t="s">
        <v>142</v>
      </c>
      <c r="K137" s="16" t="s">
        <v>143</v>
      </c>
      <c r="L137" s="16"/>
      <c r="M137" s="16"/>
      <c r="N137" s="23" t="str">
        <f>HYPERLINK("http://slimages.macys.com/is/image/MCY/18394369 ")</f>
        <v xml:space="preserve">http://slimages.macys.com/is/image/MCY/18394369 </v>
      </c>
    </row>
    <row r="138" spans="1:14" x14ac:dyDescent="0.25">
      <c r="A138" s="21" t="s">
        <v>2280</v>
      </c>
      <c r="B138" s="16" t="s">
        <v>2281</v>
      </c>
      <c r="C138" s="17">
        <v>1</v>
      </c>
      <c r="D138" s="22">
        <v>9.6</v>
      </c>
      <c r="E138" s="22">
        <v>9.6</v>
      </c>
      <c r="F138" s="17" t="s">
        <v>2279</v>
      </c>
      <c r="G138" s="16" t="s">
        <v>62</v>
      </c>
      <c r="H138" s="21" t="s">
        <v>27</v>
      </c>
      <c r="I138" s="16" t="s">
        <v>11</v>
      </c>
      <c r="J138" s="16" t="s">
        <v>142</v>
      </c>
      <c r="K138" s="16" t="s">
        <v>143</v>
      </c>
      <c r="L138" s="16" t="s">
        <v>154</v>
      </c>
      <c r="M138" s="16" t="s">
        <v>180</v>
      </c>
      <c r="N138" s="23" t="str">
        <f>HYPERLINK("http://images.bloomingdales.com/is/image/BLM/10810944 ")</f>
        <v xml:space="preserve">http://images.bloomingdales.com/is/image/BLM/10810944 </v>
      </c>
    </row>
    <row r="139" spans="1:14" x14ac:dyDescent="0.25">
      <c r="A139" s="21" t="s">
        <v>2267</v>
      </c>
      <c r="B139" s="16" t="s">
        <v>2268</v>
      </c>
      <c r="C139" s="17">
        <v>1</v>
      </c>
      <c r="D139" s="22">
        <v>28</v>
      </c>
      <c r="E139" s="22">
        <v>28</v>
      </c>
      <c r="F139" s="17" t="s">
        <v>176</v>
      </c>
      <c r="G139" s="16" t="s">
        <v>31</v>
      </c>
      <c r="H139" s="21" t="s">
        <v>40</v>
      </c>
      <c r="I139" s="16" t="s">
        <v>11</v>
      </c>
      <c r="J139" s="16" t="s">
        <v>142</v>
      </c>
      <c r="K139" s="16" t="s">
        <v>143</v>
      </c>
      <c r="L139" s="16"/>
      <c r="M139" s="16"/>
      <c r="N139" s="23" t="str">
        <f>HYPERLINK("http://slimages.macys.com/is/image/MCY/16362827 ")</f>
        <v xml:space="preserve">http://slimages.macys.com/is/image/MCY/16362827 </v>
      </c>
    </row>
    <row r="140" spans="1:14" x14ac:dyDescent="0.25">
      <c r="A140" s="21" t="s">
        <v>2247</v>
      </c>
      <c r="B140" s="16" t="s">
        <v>2248</v>
      </c>
      <c r="C140" s="17">
        <v>1</v>
      </c>
      <c r="D140" s="22">
        <v>46</v>
      </c>
      <c r="E140" s="22">
        <v>46</v>
      </c>
      <c r="F140" s="17" t="s">
        <v>2249</v>
      </c>
      <c r="G140" s="16" t="s">
        <v>31</v>
      </c>
      <c r="H140" s="21" t="s">
        <v>1665</v>
      </c>
      <c r="I140" s="16" t="s">
        <v>11</v>
      </c>
      <c r="J140" s="16" t="s">
        <v>142</v>
      </c>
      <c r="K140" s="16" t="s">
        <v>143</v>
      </c>
      <c r="L140" s="16" t="s">
        <v>111</v>
      </c>
      <c r="M140" s="16" t="s">
        <v>118</v>
      </c>
      <c r="N140" s="23" t="str">
        <f>HYPERLINK("http://slimages.macys.com/is/image/MCY/13060846 ")</f>
        <v xml:space="preserve">http://slimages.macys.com/is/image/MCY/13060846 </v>
      </c>
    </row>
    <row r="141" spans="1:14" x14ac:dyDescent="0.25">
      <c r="A141" s="21" t="s">
        <v>2258</v>
      </c>
      <c r="B141" s="16" t="s">
        <v>2259</v>
      </c>
      <c r="C141" s="17">
        <v>1</v>
      </c>
      <c r="D141" s="22">
        <v>42</v>
      </c>
      <c r="E141" s="22">
        <v>42</v>
      </c>
      <c r="F141" s="17" t="s">
        <v>150</v>
      </c>
      <c r="G141" s="16" t="s">
        <v>127</v>
      </c>
      <c r="H141" s="21" t="s">
        <v>47</v>
      </c>
      <c r="I141" s="16" t="s">
        <v>11</v>
      </c>
      <c r="J141" s="16" t="s">
        <v>142</v>
      </c>
      <c r="K141" s="16" t="s">
        <v>143</v>
      </c>
      <c r="L141" s="16" t="s">
        <v>111</v>
      </c>
      <c r="M141" s="16" t="s">
        <v>118</v>
      </c>
      <c r="N141" s="23" t="str">
        <f>HYPERLINK("http://slimages.macys.com/is/image/MCY/15240639 ")</f>
        <v xml:space="preserve">http://slimages.macys.com/is/image/MCY/15240639 </v>
      </c>
    </row>
    <row r="142" spans="1:14" x14ac:dyDescent="0.25">
      <c r="A142" s="21" t="s">
        <v>2275</v>
      </c>
      <c r="B142" s="16" t="s">
        <v>2276</v>
      </c>
      <c r="C142" s="17">
        <v>1</v>
      </c>
      <c r="D142" s="22">
        <v>20</v>
      </c>
      <c r="E142" s="22">
        <v>20</v>
      </c>
      <c r="F142" s="17" t="s">
        <v>710</v>
      </c>
      <c r="G142" s="16" t="s">
        <v>31</v>
      </c>
      <c r="H142" s="21" t="s">
        <v>55</v>
      </c>
      <c r="I142" s="16" t="s">
        <v>11</v>
      </c>
      <c r="J142" s="16" t="s">
        <v>142</v>
      </c>
      <c r="K142" s="16" t="s">
        <v>143</v>
      </c>
      <c r="L142" s="16"/>
      <c r="M142" s="16"/>
      <c r="N142" s="23" t="str">
        <f>HYPERLINK("http://slimages.macys.com/is/image/MCY/20430864 ")</f>
        <v xml:space="preserve">http://slimages.macys.com/is/image/MCY/20430864 </v>
      </c>
    </row>
    <row r="143" spans="1:14" ht="24" x14ac:dyDescent="0.25">
      <c r="A143" s="21" t="s">
        <v>2271</v>
      </c>
      <c r="B143" s="16" t="s">
        <v>2272</v>
      </c>
      <c r="C143" s="17">
        <v>1</v>
      </c>
      <c r="D143" s="22">
        <v>20</v>
      </c>
      <c r="E143" s="22">
        <v>20</v>
      </c>
      <c r="F143" s="17" t="s">
        <v>2273</v>
      </c>
      <c r="G143" s="16" t="s">
        <v>31</v>
      </c>
      <c r="H143" s="21" t="s">
        <v>158</v>
      </c>
      <c r="I143" s="16" t="s">
        <v>11</v>
      </c>
      <c r="J143" s="16" t="s">
        <v>142</v>
      </c>
      <c r="K143" s="16" t="s">
        <v>143</v>
      </c>
      <c r="L143" s="16" t="s">
        <v>111</v>
      </c>
      <c r="M143" s="16" t="s">
        <v>2274</v>
      </c>
      <c r="N143" s="23" t="str">
        <f>HYPERLINK("http://slimages.macys.com/is/image/MCY/16634350 ")</f>
        <v xml:space="preserve">http://slimages.macys.com/is/image/MCY/16634350 </v>
      </c>
    </row>
    <row r="144" spans="1:14" x14ac:dyDescent="0.25">
      <c r="A144" s="21" t="s">
        <v>1893</v>
      </c>
      <c r="B144" s="16" t="s">
        <v>1894</v>
      </c>
      <c r="C144" s="17">
        <v>1</v>
      </c>
      <c r="D144" s="22">
        <v>20</v>
      </c>
      <c r="E144" s="22">
        <v>20</v>
      </c>
      <c r="F144" s="17" t="s">
        <v>711</v>
      </c>
      <c r="G144" s="16" t="s">
        <v>78</v>
      </c>
      <c r="H144" s="21" t="s">
        <v>55</v>
      </c>
      <c r="I144" s="16" t="s">
        <v>11</v>
      </c>
      <c r="J144" s="16" t="s">
        <v>142</v>
      </c>
      <c r="K144" s="16" t="s">
        <v>143</v>
      </c>
      <c r="L144" s="16"/>
      <c r="M144" s="16"/>
      <c r="N144" s="23" t="str">
        <f>HYPERLINK("http://slimages.macys.com/is/image/MCY/20184843 ")</f>
        <v xml:space="preserve">http://slimages.macys.com/is/image/MCY/20184843 </v>
      </c>
    </row>
    <row r="145" spans="1:14" x14ac:dyDescent="0.25">
      <c r="A145" s="21" t="s">
        <v>2284</v>
      </c>
      <c r="B145" s="16" t="s">
        <v>2285</v>
      </c>
      <c r="C145" s="17">
        <v>1</v>
      </c>
      <c r="D145" s="22">
        <v>26.11</v>
      </c>
      <c r="E145" s="22">
        <v>26.11</v>
      </c>
      <c r="F145" s="17" t="s">
        <v>709</v>
      </c>
      <c r="G145" s="16" t="s">
        <v>78</v>
      </c>
      <c r="H145" s="21" t="s">
        <v>27</v>
      </c>
      <c r="I145" s="16" t="s">
        <v>11</v>
      </c>
      <c r="J145" s="16" t="s">
        <v>142</v>
      </c>
      <c r="K145" s="16" t="s">
        <v>143</v>
      </c>
      <c r="L145" s="16"/>
      <c r="M145" s="16"/>
      <c r="N145" s="23" t="str">
        <f>HYPERLINK("http://slimages.macys.com/is/image/MCY/19962019 ")</f>
        <v xml:space="preserve">http://slimages.macys.com/is/image/MCY/19962019 </v>
      </c>
    </row>
    <row r="146" spans="1:14" x14ac:dyDescent="0.25">
      <c r="A146" s="21" t="s">
        <v>2282</v>
      </c>
      <c r="B146" s="16" t="s">
        <v>2283</v>
      </c>
      <c r="C146" s="17">
        <v>1</v>
      </c>
      <c r="D146" s="22">
        <v>20</v>
      </c>
      <c r="E146" s="22">
        <v>20</v>
      </c>
      <c r="F146" s="17" t="s">
        <v>712</v>
      </c>
      <c r="G146" s="16" t="s">
        <v>104</v>
      </c>
      <c r="H146" s="21" t="s">
        <v>55</v>
      </c>
      <c r="I146" s="16" t="s">
        <v>11</v>
      </c>
      <c r="J146" s="16" t="s">
        <v>142</v>
      </c>
      <c r="K146" s="16" t="s">
        <v>143</v>
      </c>
      <c r="L146" s="16"/>
      <c r="M146" s="16"/>
      <c r="N146" s="23" t="str">
        <f>HYPERLINK("http://slimages.macys.com/is/image/MCY/19975690 ")</f>
        <v xml:space="preserve">http://slimages.macys.com/is/image/MCY/19975690 </v>
      </c>
    </row>
    <row r="147" spans="1:14" x14ac:dyDescent="0.25">
      <c r="A147" s="21" t="s">
        <v>1728</v>
      </c>
      <c r="B147" s="16" t="s">
        <v>1729</v>
      </c>
      <c r="C147" s="17">
        <v>1</v>
      </c>
      <c r="D147" s="22">
        <v>44</v>
      </c>
      <c r="E147" s="22">
        <v>44</v>
      </c>
      <c r="F147" s="17" t="s">
        <v>679</v>
      </c>
      <c r="G147" s="16" t="s">
        <v>83</v>
      </c>
      <c r="H147" s="21" t="s">
        <v>47</v>
      </c>
      <c r="I147" s="16" t="s">
        <v>11</v>
      </c>
      <c r="J147" s="16" t="s">
        <v>142</v>
      </c>
      <c r="K147" s="16" t="s">
        <v>143</v>
      </c>
      <c r="L147" s="16" t="s">
        <v>111</v>
      </c>
      <c r="M147" s="16" t="s">
        <v>118</v>
      </c>
      <c r="N147" s="23" t="str">
        <f>HYPERLINK("http://slimages.macys.com/is/image/MCY/15121339 ")</f>
        <v xml:space="preserve">http://slimages.macys.com/is/image/MCY/15121339 </v>
      </c>
    </row>
    <row r="148" spans="1:14" x14ac:dyDescent="0.25">
      <c r="A148" s="21" t="s">
        <v>2642</v>
      </c>
      <c r="B148" s="16" t="s">
        <v>2643</v>
      </c>
      <c r="C148" s="17">
        <v>1</v>
      </c>
      <c r="D148" s="22">
        <v>19.5</v>
      </c>
      <c r="E148" s="22">
        <v>19.5</v>
      </c>
      <c r="F148" s="17" t="s">
        <v>776</v>
      </c>
      <c r="G148" s="16" t="s">
        <v>137</v>
      </c>
      <c r="H148" s="21" t="s">
        <v>231</v>
      </c>
      <c r="I148" s="16" t="s">
        <v>11</v>
      </c>
      <c r="J148" s="16" t="s">
        <v>343</v>
      </c>
      <c r="K148" s="16" t="s">
        <v>360</v>
      </c>
      <c r="L148" s="16"/>
      <c r="M148" s="16"/>
      <c r="N148" s="23" t="str">
        <f>HYPERLINK("http://slimages.macys.com/is/image/MCY/19754635 ")</f>
        <v xml:space="preserve">http://slimages.macys.com/is/image/MCY/19754635 </v>
      </c>
    </row>
    <row r="149" spans="1:14" x14ac:dyDescent="0.25">
      <c r="A149" s="21" t="s">
        <v>1700</v>
      </c>
      <c r="B149" s="16" t="s">
        <v>2626</v>
      </c>
      <c r="C149" s="17">
        <v>1</v>
      </c>
      <c r="D149" s="22">
        <v>22.5</v>
      </c>
      <c r="E149" s="22">
        <v>22.5</v>
      </c>
      <c r="F149" s="17" t="s">
        <v>1701</v>
      </c>
      <c r="G149" s="16" t="s">
        <v>86</v>
      </c>
      <c r="H149" s="21" t="s">
        <v>32</v>
      </c>
      <c r="I149" s="16" t="s">
        <v>11</v>
      </c>
      <c r="J149" s="16" t="s">
        <v>343</v>
      </c>
      <c r="K149" s="16" t="s">
        <v>360</v>
      </c>
      <c r="L149" s="16"/>
      <c r="M149" s="16"/>
      <c r="N149" s="23" t="str">
        <f>HYPERLINK("http://slimages.macys.com/is/image/MCY/19754482 ")</f>
        <v xml:space="preserve">http://slimages.macys.com/is/image/MCY/19754482 </v>
      </c>
    </row>
    <row r="150" spans="1:14" x14ac:dyDescent="0.25">
      <c r="A150" s="21" t="s">
        <v>2629</v>
      </c>
      <c r="B150" s="16" t="s">
        <v>2630</v>
      </c>
      <c r="C150" s="17">
        <v>1</v>
      </c>
      <c r="D150" s="22">
        <v>22.5</v>
      </c>
      <c r="E150" s="22">
        <v>22.5</v>
      </c>
      <c r="F150" s="17" t="s">
        <v>1701</v>
      </c>
      <c r="G150" s="16" t="s">
        <v>86</v>
      </c>
      <c r="H150" s="21" t="s">
        <v>227</v>
      </c>
      <c r="I150" s="16" t="s">
        <v>11</v>
      </c>
      <c r="J150" s="16" t="s">
        <v>343</v>
      </c>
      <c r="K150" s="16" t="s">
        <v>360</v>
      </c>
      <c r="L150" s="16"/>
      <c r="M150" s="16"/>
      <c r="N150" s="23" t="str">
        <f>HYPERLINK("http://slimages.macys.com/is/image/MCY/19754482 ")</f>
        <v xml:space="preserve">http://slimages.macys.com/is/image/MCY/19754482 </v>
      </c>
    </row>
    <row r="151" spans="1:14" x14ac:dyDescent="0.25">
      <c r="A151" s="21" t="s">
        <v>942</v>
      </c>
      <c r="B151" s="16" t="s">
        <v>943</v>
      </c>
      <c r="C151" s="17">
        <v>1</v>
      </c>
      <c r="D151" s="22">
        <v>39.99</v>
      </c>
      <c r="E151" s="22">
        <v>39.99</v>
      </c>
      <c r="F151" s="17">
        <v>100105725</v>
      </c>
      <c r="G151" s="16" t="s">
        <v>122</v>
      </c>
      <c r="H151" s="21" t="s">
        <v>47</v>
      </c>
      <c r="I151" s="16" t="s">
        <v>11</v>
      </c>
      <c r="J151" s="16" t="s">
        <v>130</v>
      </c>
      <c r="K151" s="16" t="s">
        <v>131</v>
      </c>
      <c r="L151" s="16"/>
      <c r="M151" s="16"/>
      <c r="N151" s="23" t="str">
        <f>HYPERLINK("http://slimages.macys.com/is/image/MCY/20492833 ")</f>
        <v xml:space="preserve">http://slimages.macys.com/is/image/MCY/20492833 </v>
      </c>
    </row>
    <row r="152" spans="1:14" x14ac:dyDescent="0.25">
      <c r="A152" s="21" t="s">
        <v>2168</v>
      </c>
      <c r="B152" s="16" t="s">
        <v>2169</v>
      </c>
      <c r="C152" s="17">
        <v>1</v>
      </c>
      <c r="D152" s="22">
        <v>39.99</v>
      </c>
      <c r="E152" s="22">
        <v>39.99</v>
      </c>
      <c r="F152" s="17" t="s">
        <v>2170</v>
      </c>
      <c r="G152" s="16" t="s">
        <v>78</v>
      </c>
      <c r="H152" s="21" t="s">
        <v>47</v>
      </c>
      <c r="I152" s="16" t="s">
        <v>11</v>
      </c>
      <c r="J152" s="16" t="s">
        <v>130</v>
      </c>
      <c r="K152" s="16" t="s">
        <v>131</v>
      </c>
      <c r="L152" s="16"/>
      <c r="M152" s="16"/>
      <c r="N152" s="23" t="str">
        <f>HYPERLINK("http://slimages.macys.com/is/image/MCY/20492833 ")</f>
        <v xml:space="preserve">http://slimages.macys.com/is/image/MCY/20492833 </v>
      </c>
    </row>
    <row r="153" spans="1:14" x14ac:dyDescent="0.25">
      <c r="A153" s="21" t="s">
        <v>653</v>
      </c>
      <c r="B153" s="16" t="s">
        <v>654</v>
      </c>
      <c r="C153" s="17">
        <v>1</v>
      </c>
      <c r="D153" s="22">
        <v>22.99</v>
      </c>
      <c r="E153" s="22">
        <v>22.99</v>
      </c>
      <c r="F153" s="17" t="s">
        <v>655</v>
      </c>
      <c r="G153" s="16" t="s">
        <v>62</v>
      </c>
      <c r="H153" s="21" t="s">
        <v>47</v>
      </c>
      <c r="I153" s="16" t="s">
        <v>11</v>
      </c>
      <c r="J153" s="16" t="s">
        <v>130</v>
      </c>
      <c r="K153" s="16" t="s">
        <v>131</v>
      </c>
      <c r="L153" s="16"/>
      <c r="M153" s="16"/>
      <c r="N153" s="23" t="str">
        <f>HYPERLINK("http://slimages.macys.com/is/image/MCY/19224657 ")</f>
        <v xml:space="preserve">http://slimages.macys.com/is/image/MCY/19224657 </v>
      </c>
    </row>
    <row r="154" spans="1:14" x14ac:dyDescent="0.25">
      <c r="A154" s="21" t="s">
        <v>2201</v>
      </c>
      <c r="B154" s="16" t="s">
        <v>2202</v>
      </c>
      <c r="C154" s="17">
        <v>1</v>
      </c>
      <c r="D154" s="22">
        <v>24.99</v>
      </c>
      <c r="E154" s="22">
        <v>24.99</v>
      </c>
      <c r="F154" s="17" t="s">
        <v>2203</v>
      </c>
      <c r="G154" s="16" t="s">
        <v>122</v>
      </c>
      <c r="H154" s="21" t="s">
        <v>87</v>
      </c>
      <c r="I154" s="16" t="s">
        <v>11</v>
      </c>
      <c r="J154" s="16" t="s">
        <v>130</v>
      </c>
      <c r="K154" s="16" t="s">
        <v>131</v>
      </c>
      <c r="L154" s="16"/>
      <c r="M154" s="16"/>
      <c r="N154" s="23" t="str">
        <f>HYPERLINK("http://slimages.macys.com/is/image/MCY/19858427 ")</f>
        <v xml:space="preserve">http://slimages.macys.com/is/image/MCY/19858427 </v>
      </c>
    </row>
    <row r="155" spans="1:14" x14ac:dyDescent="0.25">
      <c r="A155" s="21" t="s">
        <v>2173</v>
      </c>
      <c r="B155" s="16" t="s">
        <v>2174</v>
      </c>
      <c r="C155" s="17">
        <v>1</v>
      </c>
      <c r="D155" s="22">
        <v>21.99</v>
      </c>
      <c r="E155" s="22">
        <v>21.99</v>
      </c>
      <c r="F155" s="17" t="s">
        <v>944</v>
      </c>
      <c r="G155" s="16" t="s">
        <v>122</v>
      </c>
      <c r="H155" s="21" t="s">
        <v>47</v>
      </c>
      <c r="I155" s="16" t="s">
        <v>11</v>
      </c>
      <c r="J155" s="16" t="s">
        <v>130</v>
      </c>
      <c r="K155" s="16" t="s">
        <v>131</v>
      </c>
      <c r="L155" s="16"/>
      <c r="M155" s="16"/>
      <c r="N155" s="23" t="str">
        <f>HYPERLINK("http://slimages.macys.com/is/image/MCY/19224595 ")</f>
        <v xml:space="preserve">http://slimages.macys.com/is/image/MCY/19224595 </v>
      </c>
    </row>
    <row r="156" spans="1:14" x14ac:dyDescent="0.25">
      <c r="A156" s="21" t="s">
        <v>2171</v>
      </c>
      <c r="B156" s="16" t="s">
        <v>2172</v>
      </c>
      <c r="C156" s="17">
        <v>1</v>
      </c>
      <c r="D156" s="22">
        <v>21.99</v>
      </c>
      <c r="E156" s="22">
        <v>21.99</v>
      </c>
      <c r="F156" s="17" t="s">
        <v>945</v>
      </c>
      <c r="G156" s="16" t="s">
        <v>83</v>
      </c>
      <c r="H156" s="21" t="s">
        <v>87</v>
      </c>
      <c r="I156" s="16" t="s">
        <v>11</v>
      </c>
      <c r="J156" s="16" t="s">
        <v>130</v>
      </c>
      <c r="K156" s="16" t="s">
        <v>131</v>
      </c>
      <c r="L156" s="16"/>
      <c r="M156" s="16"/>
      <c r="N156" s="23" t="str">
        <f>HYPERLINK("http://slimages.macys.com/is/image/MCY/19224595 ")</f>
        <v xml:space="preserve">http://slimages.macys.com/is/image/MCY/19224595 </v>
      </c>
    </row>
    <row r="157" spans="1:14" x14ac:dyDescent="0.25">
      <c r="A157" s="21" t="s">
        <v>2196</v>
      </c>
      <c r="B157" s="16" t="s">
        <v>2197</v>
      </c>
      <c r="C157" s="17">
        <v>1</v>
      </c>
      <c r="D157" s="22">
        <v>19.989999999999998</v>
      </c>
      <c r="E157" s="22">
        <v>19.989999999999998</v>
      </c>
      <c r="F157" s="17" t="s">
        <v>2195</v>
      </c>
      <c r="G157" s="16" t="s">
        <v>78</v>
      </c>
      <c r="H157" s="21" t="s">
        <v>40</v>
      </c>
      <c r="I157" s="16" t="s">
        <v>11</v>
      </c>
      <c r="J157" s="16" t="s">
        <v>130</v>
      </c>
      <c r="K157" s="16" t="s">
        <v>131</v>
      </c>
      <c r="L157" s="16"/>
      <c r="M157" s="16"/>
      <c r="N157" s="23" t="str">
        <f>HYPERLINK("http://slimages.macys.com/is/image/MCY/18423775 ")</f>
        <v xml:space="preserve">http://slimages.macys.com/is/image/MCY/18423775 </v>
      </c>
    </row>
    <row r="158" spans="1:14" x14ac:dyDescent="0.25">
      <c r="A158" s="21" t="s">
        <v>2193</v>
      </c>
      <c r="B158" s="16" t="s">
        <v>2194</v>
      </c>
      <c r="C158" s="17">
        <v>1</v>
      </c>
      <c r="D158" s="22">
        <v>19.989999999999998</v>
      </c>
      <c r="E158" s="22">
        <v>19.989999999999998</v>
      </c>
      <c r="F158" s="17" t="s">
        <v>2195</v>
      </c>
      <c r="G158" s="16" t="s">
        <v>78</v>
      </c>
      <c r="H158" s="21" t="s">
        <v>27</v>
      </c>
      <c r="I158" s="16" t="s">
        <v>11</v>
      </c>
      <c r="J158" s="16" t="s">
        <v>130</v>
      </c>
      <c r="K158" s="16" t="s">
        <v>131</v>
      </c>
      <c r="L158" s="16"/>
      <c r="M158" s="16"/>
      <c r="N158" s="23" t="str">
        <f>HYPERLINK("http://slimages.macys.com/is/image/MCY/18423775 ")</f>
        <v xml:space="preserve">http://slimages.macys.com/is/image/MCY/18423775 </v>
      </c>
    </row>
    <row r="159" spans="1:14" x14ac:dyDescent="0.25">
      <c r="A159" s="21" t="s">
        <v>2198</v>
      </c>
      <c r="B159" s="16" t="s">
        <v>2199</v>
      </c>
      <c r="C159" s="17">
        <v>1</v>
      </c>
      <c r="D159" s="22">
        <v>19.989999999999998</v>
      </c>
      <c r="E159" s="22">
        <v>19.989999999999998</v>
      </c>
      <c r="F159" s="17" t="s">
        <v>2200</v>
      </c>
      <c r="G159" s="16" t="s">
        <v>62</v>
      </c>
      <c r="H159" s="21" t="s">
        <v>47</v>
      </c>
      <c r="I159" s="16" t="s">
        <v>11</v>
      </c>
      <c r="J159" s="16" t="s">
        <v>130</v>
      </c>
      <c r="K159" s="16" t="s">
        <v>131</v>
      </c>
      <c r="L159" s="16"/>
      <c r="M159" s="16"/>
      <c r="N159" s="23" t="str">
        <f>HYPERLINK("http://slimages.macys.com/is/image/MCY/19224609 ")</f>
        <v xml:space="preserve">http://slimages.macys.com/is/image/MCY/19224609 </v>
      </c>
    </row>
    <row r="160" spans="1:14" x14ac:dyDescent="0.25">
      <c r="A160" s="21" t="s">
        <v>2154</v>
      </c>
      <c r="B160" s="16" t="s">
        <v>2155</v>
      </c>
      <c r="C160" s="17">
        <v>1</v>
      </c>
      <c r="D160" s="22">
        <v>40.99</v>
      </c>
      <c r="E160" s="22">
        <v>40.99</v>
      </c>
      <c r="F160" s="17" t="s">
        <v>2156</v>
      </c>
      <c r="G160" s="16" t="s">
        <v>62</v>
      </c>
      <c r="H160" s="21" t="s">
        <v>27</v>
      </c>
      <c r="I160" s="16" t="s">
        <v>11</v>
      </c>
      <c r="J160" s="16" t="s">
        <v>130</v>
      </c>
      <c r="K160" s="16" t="s">
        <v>131</v>
      </c>
      <c r="L160" s="16"/>
      <c r="M160" s="16"/>
      <c r="N160" s="23" t="str">
        <f>HYPERLINK("http://slimages.macys.com/is/image/MCY/18423758 ")</f>
        <v xml:space="preserve">http://slimages.macys.com/is/image/MCY/18423758 </v>
      </c>
    </row>
    <row r="161" spans="1:14" x14ac:dyDescent="0.25">
      <c r="A161" s="21" t="s">
        <v>2152</v>
      </c>
      <c r="B161" s="16" t="s">
        <v>2153</v>
      </c>
      <c r="C161" s="17">
        <v>1</v>
      </c>
      <c r="D161" s="22">
        <v>42.99</v>
      </c>
      <c r="E161" s="22">
        <v>42.99</v>
      </c>
      <c r="F161" s="17" t="s">
        <v>1155</v>
      </c>
      <c r="G161" s="16" t="s">
        <v>122</v>
      </c>
      <c r="H161" s="21" t="s">
        <v>32</v>
      </c>
      <c r="I161" s="16" t="s">
        <v>11</v>
      </c>
      <c r="J161" s="16" t="s">
        <v>130</v>
      </c>
      <c r="K161" s="16" t="s">
        <v>131</v>
      </c>
      <c r="L161" s="16"/>
      <c r="M161" s="16"/>
      <c r="N161" s="23" t="str">
        <f>HYPERLINK("http://slimages.macys.com/is/image/MCY/18958808 ")</f>
        <v xml:space="preserve">http://slimages.macys.com/is/image/MCY/18958808 </v>
      </c>
    </row>
    <row r="162" spans="1:14" x14ac:dyDescent="0.25">
      <c r="A162" s="21" t="s">
        <v>2160</v>
      </c>
      <c r="B162" s="16" t="s">
        <v>2161</v>
      </c>
      <c r="C162" s="17">
        <v>1</v>
      </c>
      <c r="D162" s="22">
        <v>39.99</v>
      </c>
      <c r="E162" s="22">
        <v>39.99</v>
      </c>
      <c r="F162" s="17" t="s">
        <v>2162</v>
      </c>
      <c r="G162" s="16" t="s">
        <v>137</v>
      </c>
      <c r="H162" s="21" t="s">
        <v>55</v>
      </c>
      <c r="I162" s="16" t="s">
        <v>11</v>
      </c>
      <c r="J162" s="16" t="s">
        <v>130</v>
      </c>
      <c r="K162" s="16" t="s">
        <v>131</v>
      </c>
      <c r="L162" s="16"/>
      <c r="M162" s="16"/>
      <c r="N162" s="23" t="str">
        <f>HYPERLINK("http://slimages.macys.com/is/image/MCY/18951733 ")</f>
        <v xml:space="preserve">http://slimages.macys.com/is/image/MCY/18951733 </v>
      </c>
    </row>
    <row r="163" spans="1:14" x14ac:dyDescent="0.25">
      <c r="A163" s="21" t="s">
        <v>2163</v>
      </c>
      <c r="B163" s="16" t="s">
        <v>2164</v>
      </c>
      <c r="C163" s="17">
        <v>1</v>
      </c>
      <c r="D163" s="22">
        <v>39.99</v>
      </c>
      <c r="E163" s="22">
        <v>39.99</v>
      </c>
      <c r="F163" s="17" t="s">
        <v>2165</v>
      </c>
      <c r="G163" s="16" t="s">
        <v>270</v>
      </c>
      <c r="H163" s="21" t="s">
        <v>55</v>
      </c>
      <c r="I163" s="16" t="s">
        <v>11</v>
      </c>
      <c r="J163" s="16" t="s">
        <v>130</v>
      </c>
      <c r="K163" s="16" t="s">
        <v>131</v>
      </c>
      <c r="L163" s="16"/>
      <c r="M163" s="16"/>
      <c r="N163" s="23" t="str">
        <f>HYPERLINK("http://slimages.macys.com/is/image/MCY/18951733 ")</f>
        <v xml:space="preserve">http://slimages.macys.com/is/image/MCY/18951733 </v>
      </c>
    </row>
    <row r="164" spans="1:14" x14ac:dyDescent="0.25">
      <c r="A164" s="21" t="s">
        <v>2150</v>
      </c>
      <c r="B164" s="16" t="s">
        <v>2151</v>
      </c>
      <c r="C164" s="17">
        <v>1</v>
      </c>
      <c r="D164" s="22">
        <v>39.99</v>
      </c>
      <c r="E164" s="22">
        <v>39.99</v>
      </c>
      <c r="F164" s="17">
        <v>100107269</v>
      </c>
      <c r="G164" s="16" t="s">
        <v>104</v>
      </c>
      <c r="H164" s="21" t="s">
        <v>40</v>
      </c>
      <c r="I164" s="16" t="s">
        <v>11</v>
      </c>
      <c r="J164" s="16" t="s">
        <v>130</v>
      </c>
      <c r="K164" s="16" t="s">
        <v>131</v>
      </c>
      <c r="L164" s="16"/>
      <c r="M164" s="16"/>
      <c r="N164" s="23" t="str">
        <f>HYPERLINK("http://slimages.macys.com/is/image/MCY/17603756 ")</f>
        <v xml:space="preserve">http://slimages.macys.com/is/image/MCY/17603756 </v>
      </c>
    </row>
    <row r="165" spans="1:14" x14ac:dyDescent="0.25">
      <c r="A165" s="21" t="s">
        <v>2191</v>
      </c>
      <c r="B165" s="16" t="s">
        <v>2192</v>
      </c>
      <c r="C165" s="17">
        <v>1</v>
      </c>
      <c r="D165" s="22">
        <v>24.99</v>
      </c>
      <c r="E165" s="22">
        <v>24.99</v>
      </c>
      <c r="F165" s="17" t="s">
        <v>2185</v>
      </c>
      <c r="G165" s="16" t="s">
        <v>78</v>
      </c>
      <c r="H165" s="21" t="s">
        <v>47</v>
      </c>
      <c r="I165" s="16" t="s">
        <v>11</v>
      </c>
      <c r="J165" s="16" t="s">
        <v>130</v>
      </c>
      <c r="K165" s="16" t="s">
        <v>131</v>
      </c>
      <c r="L165" s="16"/>
      <c r="M165" s="16"/>
      <c r="N165" s="23" t="str">
        <f>HYPERLINK("http://slimages.macys.com/is/image/MCY/19229166 ")</f>
        <v xml:space="preserve">http://slimages.macys.com/is/image/MCY/19229166 </v>
      </c>
    </row>
    <row r="166" spans="1:14" x14ac:dyDescent="0.25">
      <c r="A166" s="21" t="s">
        <v>2183</v>
      </c>
      <c r="B166" s="16" t="s">
        <v>2184</v>
      </c>
      <c r="C166" s="17">
        <v>1</v>
      </c>
      <c r="D166" s="22">
        <v>24.99</v>
      </c>
      <c r="E166" s="22">
        <v>24.99</v>
      </c>
      <c r="F166" s="17" t="s">
        <v>2185</v>
      </c>
      <c r="G166" s="16" t="s">
        <v>78</v>
      </c>
      <c r="H166" s="21" t="s">
        <v>87</v>
      </c>
      <c r="I166" s="16" t="s">
        <v>11</v>
      </c>
      <c r="J166" s="16" t="s">
        <v>130</v>
      </c>
      <c r="K166" s="16" t="s">
        <v>131</v>
      </c>
      <c r="L166" s="16"/>
      <c r="M166" s="16"/>
      <c r="N166" s="23" t="str">
        <f>HYPERLINK("http://slimages.macys.com/is/image/MCY/19229166 ")</f>
        <v xml:space="preserve">http://slimages.macys.com/is/image/MCY/19229166 </v>
      </c>
    </row>
    <row r="167" spans="1:14" x14ac:dyDescent="0.25">
      <c r="A167" s="21" t="s">
        <v>2181</v>
      </c>
      <c r="B167" s="16" t="s">
        <v>2182</v>
      </c>
      <c r="C167" s="17">
        <v>1</v>
      </c>
      <c r="D167" s="22">
        <v>24.99</v>
      </c>
      <c r="E167" s="22">
        <v>24.99</v>
      </c>
      <c r="F167" s="17" t="s">
        <v>950</v>
      </c>
      <c r="G167" s="16" t="s">
        <v>78</v>
      </c>
      <c r="H167" s="21" t="s">
        <v>87</v>
      </c>
      <c r="I167" s="16" t="s">
        <v>11</v>
      </c>
      <c r="J167" s="16" t="s">
        <v>130</v>
      </c>
      <c r="K167" s="16" t="s">
        <v>131</v>
      </c>
      <c r="L167" s="16"/>
      <c r="M167" s="16"/>
      <c r="N167" s="23" t="str">
        <f>HYPERLINK("http://slimages.macys.com/is/image/MCY/19229165 ")</f>
        <v xml:space="preserve">http://slimages.macys.com/is/image/MCY/19229165 </v>
      </c>
    </row>
    <row r="168" spans="1:14" x14ac:dyDescent="0.25">
      <c r="A168" s="21" t="s">
        <v>2186</v>
      </c>
      <c r="B168" s="16" t="s">
        <v>2187</v>
      </c>
      <c r="C168" s="17">
        <v>1</v>
      </c>
      <c r="D168" s="22">
        <v>24.99</v>
      </c>
      <c r="E168" s="22">
        <v>24.99</v>
      </c>
      <c r="F168" s="17" t="s">
        <v>2188</v>
      </c>
      <c r="G168" s="16" t="s">
        <v>62</v>
      </c>
      <c r="H168" s="21" t="s">
        <v>87</v>
      </c>
      <c r="I168" s="16" t="s">
        <v>11</v>
      </c>
      <c r="J168" s="16" t="s">
        <v>130</v>
      </c>
      <c r="K168" s="16" t="s">
        <v>131</v>
      </c>
      <c r="L168" s="16"/>
      <c r="M168" s="16"/>
      <c r="N168" s="23" t="str">
        <f>HYPERLINK("http://slimages.macys.com/is/image/MCY/19905982 ")</f>
        <v xml:space="preserve">http://slimages.macys.com/is/image/MCY/19905982 </v>
      </c>
    </row>
    <row r="169" spans="1:14" x14ac:dyDescent="0.25">
      <c r="A169" s="21" t="s">
        <v>2175</v>
      </c>
      <c r="B169" s="16" t="s">
        <v>2176</v>
      </c>
      <c r="C169" s="17">
        <v>1</v>
      </c>
      <c r="D169" s="22">
        <v>24.99</v>
      </c>
      <c r="E169" s="22">
        <v>24.99</v>
      </c>
      <c r="F169" s="17" t="s">
        <v>138</v>
      </c>
      <c r="G169" s="16" t="s">
        <v>83</v>
      </c>
      <c r="H169" s="21" t="s">
        <v>27</v>
      </c>
      <c r="I169" s="16" t="s">
        <v>11</v>
      </c>
      <c r="J169" s="16" t="s">
        <v>130</v>
      </c>
      <c r="K169" s="16" t="s">
        <v>131</v>
      </c>
      <c r="L169" s="16"/>
      <c r="M169" s="16"/>
      <c r="N169" s="23" t="str">
        <f>HYPERLINK("http://slimages.macys.com/is/image/MCY/19905982 ")</f>
        <v xml:space="preserve">http://slimages.macys.com/is/image/MCY/19905982 </v>
      </c>
    </row>
    <row r="170" spans="1:14" x14ac:dyDescent="0.25">
      <c r="A170" s="21" t="s">
        <v>2189</v>
      </c>
      <c r="B170" s="16" t="s">
        <v>2190</v>
      </c>
      <c r="C170" s="17">
        <v>1</v>
      </c>
      <c r="D170" s="22">
        <v>24.99</v>
      </c>
      <c r="E170" s="22">
        <v>24.99</v>
      </c>
      <c r="F170" s="17" t="s">
        <v>949</v>
      </c>
      <c r="G170" s="16" t="s">
        <v>62</v>
      </c>
      <c r="H170" s="21" t="s">
        <v>27</v>
      </c>
      <c r="I170" s="16" t="s">
        <v>11</v>
      </c>
      <c r="J170" s="16" t="s">
        <v>130</v>
      </c>
      <c r="K170" s="16" t="s">
        <v>131</v>
      </c>
      <c r="L170" s="16"/>
      <c r="M170" s="16"/>
      <c r="N170" s="23" t="str">
        <f>HYPERLINK("http://slimages.macys.com/is/image/MCY/19905982 ")</f>
        <v xml:space="preserve">http://slimages.macys.com/is/image/MCY/19905982 </v>
      </c>
    </row>
    <row r="171" spans="1:14" x14ac:dyDescent="0.25">
      <c r="A171" s="21" t="s">
        <v>2157</v>
      </c>
      <c r="B171" s="16" t="s">
        <v>2158</v>
      </c>
      <c r="C171" s="17">
        <v>1</v>
      </c>
      <c r="D171" s="22">
        <v>40.99</v>
      </c>
      <c r="E171" s="22">
        <v>40.99</v>
      </c>
      <c r="F171" s="17" t="s">
        <v>2159</v>
      </c>
      <c r="G171" s="16" t="s">
        <v>83</v>
      </c>
      <c r="H171" s="21" t="s">
        <v>32</v>
      </c>
      <c r="I171" s="16" t="s">
        <v>11</v>
      </c>
      <c r="J171" s="16" t="s">
        <v>130</v>
      </c>
      <c r="K171" s="16" t="s">
        <v>131</v>
      </c>
      <c r="L171" s="16"/>
      <c r="M171" s="16"/>
      <c r="N171" s="23" t="str">
        <f>HYPERLINK("http://slimages.macys.com/is/image/MCY/18222825 ")</f>
        <v xml:space="preserve">http://slimages.macys.com/is/image/MCY/18222825 </v>
      </c>
    </row>
    <row r="172" spans="1:14" x14ac:dyDescent="0.25">
      <c r="A172" s="21" t="s">
        <v>2147</v>
      </c>
      <c r="B172" s="16" t="s">
        <v>2148</v>
      </c>
      <c r="C172" s="17">
        <v>1</v>
      </c>
      <c r="D172" s="22">
        <v>42.99</v>
      </c>
      <c r="E172" s="22">
        <v>42.99</v>
      </c>
      <c r="F172" s="17" t="s">
        <v>2149</v>
      </c>
      <c r="G172" s="16" t="s">
        <v>122</v>
      </c>
      <c r="H172" s="21" t="s">
        <v>55</v>
      </c>
      <c r="I172" s="16" t="s">
        <v>11</v>
      </c>
      <c r="J172" s="16" t="s">
        <v>130</v>
      </c>
      <c r="K172" s="16" t="s">
        <v>131</v>
      </c>
      <c r="L172" s="16"/>
      <c r="M172" s="16"/>
      <c r="N172" s="23" t="str">
        <f>HYPERLINK("http://slimages.macys.com/is/image/MCY/18819751 ")</f>
        <v xml:space="preserve">http://slimages.macys.com/is/image/MCY/18819751 </v>
      </c>
    </row>
    <row r="173" spans="1:14" x14ac:dyDescent="0.25">
      <c r="A173" s="21" t="s">
        <v>640</v>
      </c>
      <c r="B173" s="16" t="s">
        <v>641</v>
      </c>
      <c r="C173" s="17">
        <v>1</v>
      </c>
      <c r="D173" s="22">
        <v>26.11</v>
      </c>
      <c r="E173" s="22">
        <v>26.11</v>
      </c>
      <c r="F173" s="17" t="s">
        <v>134</v>
      </c>
      <c r="G173" s="16" t="s">
        <v>135</v>
      </c>
      <c r="H173" s="21" t="s">
        <v>32</v>
      </c>
      <c r="I173" s="16" t="s">
        <v>11</v>
      </c>
      <c r="J173" s="16" t="s">
        <v>130</v>
      </c>
      <c r="K173" s="16" t="s">
        <v>131</v>
      </c>
      <c r="L173" s="16"/>
      <c r="M173" s="16"/>
      <c r="N173" s="23" t="str">
        <f>HYPERLINK("http://slimages.macys.com/is/image/MCY/19660777 ")</f>
        <v xml:space="preserve">http://slimages.macys.com/is/image/MCY/19660777 </v>
      </c>
    </row>
    <row r="174" spans="1:14" x14ac:dyDescent="0.25">
      <c r="A174" s="21" t="s">
        <v>947</v>
      </c>
      <c r="B174" s="16" t="s">
        <v>948</v>
      </c>
      <c r="C174" s="17">
        <v>2</v>
      </c>
      <c r="D174" s="22">
        <v>22.99</v>
      </c>
      <c r="E174" s="22">
        <v>45.98</v>
      </c>
      <c r="F174" s="17" t="s">
        <v>134</v>
      </c>
      <c r="G174" s="16" t="s">
        <v>135</v>
      </c>
      <c r="H174" s="21" t="s">
        <v>40</v>
      </c>
      <c r="I174" s="16" t="s">
        <v>11</v>
      </c>
      <c r="J174" s="16" t="s">
        <v>130</v>
      </c>
      <c r="K174" s="16" t="s">
        <v>131</v>
      </c>
      <c r="L174" s="16"/>
      <c r="M174" s="16"/>
      <c r="N174" s="23" t="str">
        <f>HYPERLINK("http://slimages.macys.com/is/image/MCY/19660777 ")</f>
        <v xml:space="preserve">http://slimages.macys.com/is/image/MCY/19660777 </v>
      </c>
    </row>
    <row r="175" spans="1:14" x14ac:dyDescent="0.25">
      <c r="A175" s="21" t="s">
        <v>132</v>
      </c>
      <c r="B175" s="16" t="s">
        <v>133</v>
      </c>
      <c r="C175" s="17">
        <v>4</v>
      </c>
      <c r="D175" s="22">
        <v>22.99</v>
      </c>
      <c r="E175" s="22">
        <v>91.96</v>
      </c>
      <c r="F175" s="17" t="s">
        <v>134</v>
      </c>
      <c r="G175" s="16" t="s">
        <v>135</v>
      </c>
      <c r="H175" s="21" t="s">
        <v>27</v>
      </c>
      <c r="I175" s="16" t="s">
        <v>11</v>
      </c>
      <c r="J175" s="16" t="s">
        <v>130</v>
      </c>
      <c r="K175" s="16" t="s">
        <v>131</v>
      </c>
      <c r="L175" s="16"/>
      <c r="M175" s="16"/>
      <c r="N175" s="23" t="str">
        <f>HYPERLINK("http://slimages.macys.com/is/image/MCY/19660777 ")</f>
        <v xml:space="preserve">http://slimages.macys.com/is/image/MCY/19660777 </v>
      </c>
    </row>
    <row r="176" spans="1:14" x14ac:dyDescent="0.25">
      <c r="A176" s="21" t="s">
        <v>2177</v>
      </c>
      <c r="B176" s="16" t="s">
        <v>2178</v>
      </c>
      <c r="C176" s="17">
        <v>2</v>
      </c>
      <c r="D176" s="22">
        <v>22.99</v>
      </c>
      <c r="E176" s="22">
        <v>45.98</v>
      </c>
      <c r="F176" s="17" t="s">
        <v>134</v>
      </c>
      <c r="G176" s="16" t="s">
        <v>135</v>
      </c>
      <c r="H176" s="21" t="s">
        <v>47</v>
      </c>
      <c r="I176" s="16" t="s">
        <v>11</v>
      </c>
      <c r="J176" s="16" t="s">
        <v>130</v>
      </c>
      <c r="K176" s="16" t="s">
        <v>131</v>
      </c>
      <c r="L176" s="16"/>
      <c r="M176" s="16"/>
      <c r="N176" s="23" t="str">
        <f>HYPERLINK("http://slimages.macys.com/is/image/MCY/19660777 ")</f>
        <v xml:space="preserve">http://slimages.macys.com/is/image/MCY/19660777 </v>
      </c>
    </row>
    <row r="177" spans="1:14" x14ac:dyDescent="0.25">
      <c r="A177" s="21" t="s">
        <v>618</v>
      </c>
      <c r="B177" s="16" t="s">
        <v>619</v>
      </c>
      <c r="C177" s="17">
        <v>1</v>
      </c>
      <c r="D177" s="22">
        <v>22.99</v>
      </c>
      <c r="E177" s="22">
        <v>22.99</v>
      </c>
      <c r="F177" s="17" t="s">
        <v>134</v>
      </c>
      <c r="G177" s="16" t="s">
        <v>135</v>
      </c>
      <c r="H177" s="21" t="s">
        <v>87</v>
      </c>
      <c r="I177" s="16" t="s">
        <v>11</v>
      </c>
      <c r="J177" s="16" t="s">
        <v>130</v>
      </c>
      <c r="K177" s="16" t="s">
        <v>131</v>
      </c>
      <c r="L177" s="16"/>
      <c r="M177" s="16"/>
      <c r="N177" s="23" t="str">
        <f>HYPERLINK("http://slimages.macys.com/is/image/MCY/19660777 ")</f>
        <v xml:space="preserve">http://slimages.macys.com/is/image/MCY/19660777 </v>
      </c>
    </row>
    <row r="178" spans="1:14" x14ac:dyDescent="0.25">
      <c r="A178" s="21" t="s">
        <v>614</v>
      </c>
      <c r="B178" s="16" t="s">
        <v>615</v>
      </c>
      <c r="C178" s="17">
        <v>4</v>
      </c>
      <c r="D178" s="22">
        <v>22.99</v>
      </c>
      <c r="E178" s="22">
        <v>91.96</v>
      </c>
      <c r="F178" s="17" t="s">
        <v>134</v>
      </c>
      <c r="G178" s="16" t="s">
        <v>76</v>
      </c>
      <c r="H178" s="21" t="s">
        <v>32</v>
      </c>
      <c r="I178" s="16" t="s">
        <v>11</v>
      </c>
      <c r="J178" s="16" t="s">
        <v>130</v>
      </c>
      <c r="K178" s="16" t="s">
        <v>131</v>
      </c>
      <c r="L178" s="16"/>
      <c r="M178" s="16"/>
      <c r="N178" s="23" t="str">
        <f t="shared" ref="N178:N187" si="2">HYPERLINK("http://slimages.macys.com/is/image/MCY/20352544 ")</f>
        <v xml:space="preserve">http://slimages.macys.com/is/image/MCY/20352544 </v>
      </c>
    </row>
    <row r="179" spans="1:14" x14ac:dyDescent="0.25">
      <c r="A179" s="21" t="s">
        <v>2179</v>
      </c>
      <c r="B179" s="16" t="s">
        <v>2180</v>
      </c>
      <c r="C179" s="17">
        <v>3</v>
      </c>
      <c r="D179" s="22">
        <v>22.99</v>
      </c>
      <c r="E179" s="22">
        <v>68.97</v>
      </c>
      <c r="F179" s="17" t="s">
        <v>134</v>
      </c>
      <c r="G179" s="16" t="s">
        <v>76</v>
      </c>
      <c r="H179" s="21" t="s">
        <v>40</v>
      </c>
      <c r="I179" s="16" t="s">
        <v>11</v>
      </c>
      <c r="J179" s="16" t="s">
        <v>130</v>
      </c>
      <c r="K179" s="16" t="s">
        <v>131</v>
      </c>
      <c r="L179" s="16"/>
      <c r="M179" s="16"/>
      <c r="N179" s="23" t="str">
        <f t="shared" si="2"/>
        <v xml:space="preserve">http://slimages.macys.com/is/image/MCY/20352544 </v>
      </c>
    </row>
    <row r="180" spans="1:14" x14ac:dyDescent="0.25">
      <c r="A180" s="21" t="s">
        <v>938</v>
      </c>
      <c r="B180" s="16" t="s">
        <v>939</v>
      </c>
      <c r="C180" s="17">
        <v>1</v>
      </c>
      <c r="D180" s="22">
        <v>22.99</v>
      </c>
      <c r="E180" s="22">
        <v>22.99</v>
      </c>
      <c r="F180" s="17" t="s">
        <v>134</v>
      </c>
      <c r="G180" s="16" t="s">
        <v>76</v>
      </c>
      <c r="H180" s="21" t="s">
        <v>55</v>
      </c>
      <c r="I180" s="16" t="s">
        <v>11</v>
      </c>
      <c r="J180" s="16" t="s">
        <v>130</v>
      </c>
      <c r="K180" s="16" t="s">
        <v>131</v>
      </c>
      <c r="L180" s="16"/>
      <c r="M180" s="16"/>
      <c r="N180" s="23" t="str">
        <f t="shared" si="2"/>
        <v xml:space="preserve">http://slimages.macys.com/is/image/MCY/20352544 </v>
      </c>
    </row>
    <row r="181" spans="1:14" x14ac:dyDescent="0.25">
      <c r="A181" s="21" t="s">
        <v>622</v>
      </c>
      <c r="B181" s="16" t="s">
        <v>623</v>
      </c>
      <c r="C181" s="17">
        <v>5</v>
      </c>
      <c r="D181" s="22">
        <v>22.99</v>
      </c>
      <c r="E181" s="22">
        <v>114.95</v>
      </c>
      <c r="F181" s="17" t="s">
        <v>134</v>
      </c>
      <c r="G181" s="16" t="s">
        <v>76</v>
      </c>
      <c r="H181" s="21" t="s">
        <v>27</v>
      </c>
      <c r="I181" s="16" t="s">
        <v>11</v>
      </c>
      <c r="J181" s="16" t="s">
        <v>130</v>
      </c>
      <c r="K181" s="16" t="s">
        <v>131</v>
      </c>
      <c r="L181" s="16"/>
      <c r="M181" s="16"/>
      <c r="N181" s="23" t="str">
        <f t="shared" si="2"/>
        <v xml:space="preserve">http://slimages.macys.com/is/image/MCY/20352544 </v>
      </c>
    </row>
    <row r="182" spans="1:14" x14ac:dyDescent="0.25">
      <c r="A182" s="21" t="s">
        <v>624</v>
      </c>
      <c r="B182" s="16" t="s">
        <v>625</v>
      </c>
      <c r="C182" s="17">
        <v>2</v>
      </c>
      <c r="D182" s="22">
        <v>22.99</v>
      </c>
      <c r="E182" s="22">
        <v>45.98</v>
      </c>
      <c r="F182" s="17" t="s">
        <v>134</v>
      </c>
      <c r="G182" s="16" t="s">
        <v>76</v>
      </c>
      <c r="H182" s="21" t="s">
        <v>47</v>
      </c>
      <c r="I182" s="16" t="s">
        <v>11</v>
      </c>
      <c r="J182" s="16" t="s">
        <v>130</v>
      </c>
      <c r="K182" s="16" t="s">
        <v>131</v>
      </c>
      <c r="L182" s="16"/>
      <c r="M182" s="16"/>
      <c r="N182" s="23" t="str">
        <f t="shared" si="2"/>
        <v xml:space="preserve">http://slimages.macys.com/is/image/MCY/20352544 </v>
      </c>
    </row>
    <row r="183" spans="1:14" x14ac:dyDescent="0.25">
      <c r="A183" s="21" t="s">
        <v>612</v>
      </c>
      <c r="B183" s="16" t="s">
        <v>613</v>
      </c>
      <c r="C183" s="17">
        <v>2</v>
      </c>
      <c r="D183" s="22">
        <v>22.99</v>
      </c>
      <c r="E183" s="22">
        <v>45.98</v>
      </c>
      <c r="F183" s="17" t="s">
        <v>134</v>
      </c>
      <c r="G183" s="16" t="s">
        <v>76</v>
      </c>
      <c r="H183" s="21" t="s">
        <v>87</v>
      </c>
      <c r="I183" s="16" t="s">
        <v>11</v>
      </c>
      <c r="J183" s="16" t="s">
        <v>130</v>
      </c>
      <c r="K183" s="16" t="s">
        <v>131</v>
      </c>
      <c r="L183" s="16"/>
      <c r="M183" s="16"/>
      <c r="N183" s="23" t="str">
        <f t="shared" si="2"/>
        <v xml:space="preserve">http://slimages.macys.com/is/image/MCY/20352544 </v>
      </c>
    </row>
    <row r="184" spans="1:14" x14ac:dyDescent="0.25">
      <c r="A184" s="21" t="s">
        <v>630</v>
      </c>
      <c r="B184" s="16" t="s">
        <v>631</v>
      </c>
      <c r="C184" s="17">
        <v>4</v>
      </c>
      <c r="D184" s="22">
        <v>22.99</v>
      </c>
      <c r="E184" s="22">
        <v>91.96</v>
      </c>
      <c r="F184" s="17" t="s">
        <v>134</v>
      </c>
      <c r="G184" s="16" t="s">
        <v>82</v>
      </c>
      <c r="H184" s="21" t="s">
        <v>40</v>
      </c>
      <c r="I184" s="16" t="s">
        <v>11</v>
      </c>
      <c r="J184" s="16" t="s">
        <v>130</v>
      </c>
      <c r="K184" s="16" t="s">
        <v>131</v>
      </c>
      <c r="L184" s="16"/>
      <c r="M184" s="16"/>
      <c r="N184" s="23" t="str">
        <f t="shared" si="2"/>
        <v xml:space="preserve">http://slimages.macys.com/is/image/MCY/20352544 </v>
      </c>
    </row>
    <row r="185" spans="1:14" x14ac:dyDescent="0.25">
      <c r="A185" s="21" t="s">
        <v>642</v>
      </c>
      <c r="B185" s="16" t="s">
        <v>643</v>
      </c>
      <c r="C185" s="17">
        <v>1</v>
      </c>
      <c r="D185" s="22">
        <v>22.99</v>
      </c>
      <c r="E185" s="22">
        <v>22.99</v>
      </c>
      <c r="F185" s="17" t="s">
        <v>134</v>
      </c>
      <c r="G185" s="16" t="s">
        <v>82</v>
      </c>
      <c r="H185" s="21" t="s">
        <v>55</v>
      </c>
      <c r="I185" s="16" t="s">
        <v>11</v>
      </c>
      <c r="J185" s="16" t="s">
        <v>130</v>
      </c>
      <c r="K185" s="16" t="s">
        <v>131</v>
      </c>
      <c r="L185" s="16"/>
      <c r="M185" s="16"/>
      <c r="N185" s="23" t="str">
        <f t="shared" si="2"/>
        <v xml:space="preserve">http://slimages.macys.com/is/image/MCY/20352544 </v>
      </c>
    </row>
    <row r="186" spans="1:14" x14ac:dyDescent="0.25">
      <c r="A186" s="21" t="s">
        <v>626</v>
      </c>
      <c r="B186" s="16" t="s">
        <v>627</v>
      </c>
      <c r="C186" s="17">
        <v>2</v>
      </c>
      <c r="D186" s="22">
        <v>22.99</v>
      </c>
      <c r="E186" s="22">
        <v>45.98</v>
      </c>
      <c r="F186" s="17" t="s">
        <v>134</v>
      </c>
      <c r="G186" s="16" t="s">
        <v>82</v>
      </c>
      <c r="H186" s="21" t="s">
        <v>27</v>
      </c>
      <c r="I186" s="16" t="s">
        <v>11</v>
      </c>
      <c r="J186" s="16" t="s">
        <v>130</v>
      </c>
      <c r="K186" s="16" t="s">
        <v>131</v>
      </c>
      <c r="L186" s="16"/>
      <c r="M186" s="16"/>
      <c r="N186" s="23" t="str">
        <f t="shared" si="2"/>
        <v xml:space="preserve">http://slimages.macys.com/is/image/MCY/20352544 </v>
      </c>
    </row>
    <row r="187" spans="1:14" x14ac:dyDescent="0.25">
      <c r="A187" s="21" t="s">
        <v>628</v>
      </c>
      <c r="B187" s="16" t="s">
        <v>629</v>
      </c>
      <c r="C187" s="17">
        <v>1</v>
      </c>
      <c r="D187" s="22">
        <v>22.99</v>
      </c>
      <c r="E187" s="22">
        <v>22.99</v>
      </c>
      <c r="F187" s="17" t="s">
        <v>134</v>
      </c>
      <c r="G187" s="16" t="s">
        <v>82</v>
      </c>
      <c r="H187" s="21" t="s">
        <v>47</v>
      </c>
      <c r="I187" s="16" t="s">
        <v>11</v>
      </c>
      <c r="J187" s="16" t="s">
        <v>130</v>
      </c>
      <c r="K187" s="16" t="s">
        <v>131</v>
      </c>
      <c r="L187" s="16"/>
      <c r="M187" s="16"/>
      <c r="N187" s="23" t="str">
        <f t="shared" si="2"/>
        <v xml:space="preserve">http://slimages.macys.com/is/image/MCY/20352544 </v>
      </c>
    </row>
    <row r="188" spans="1:14" x14ac:dyDescent="0.25">
      <c r="A188" s="21" t="s">
        <v>638</v>
      </c>
      <c r="B188" s="16" t="s">
        <v>639</v>
      </c>
      <c r="C188" s="17">
        <v>2</v>
      </c>
      <c r="D188" s="22">
        <v>22.99</v>
      </c>
      <c r="E188" s="22">
        <v>45.98</v>
      </c>
      <c r="F188" s="17" t="s">
        <v>134</v>
      </c>
      <c r="G188" s="16" t="s">
        <v>82</v>
      </c>
      <c r="H188" s="21" t="s">
        <v>87</v>
      </c>
      <c r="I188" s="16" t="s">
        <v>11</v>
      </c>
      <c r="J188" s="16" t="s">
        <v>130</v>
      </c>
      <c r="K188" s="16" t="s">
        <v>131</v>
      </c>
      <c r="L188" s="16"/>
      <c r="M188" s="16"/>
      <c r="N188" s="23" t="str">
        <f>HYPERLINK("http://slimages.macys.com/is/image/MCY/537338 ")</f>
        <v xml:space="preserve">http://slimages.macys.com/is/image/MCY/537338 </v>
      </c>
    </row>
    <row r="189" spans="1:14" x14ac:dyDescent="0.25">
      <c r="A189" s="21" t="s">
        <v>616</v>
      </c>
      <c r="B189" s="16" t="s">
        <v>617</v>
      </c>
      <c r="C189" s="17">
        <v>3</v>
      </c>
      <c r="D189" s="22">
        <v>22.99</v>
      </c>
      <c r="E189" s="22">
        <v>68.97</v>
      </c>
      <c r="F189" s="17" t="s">
        <v>134</v>
      </c>
      <c r="G189" s="16" t="s">
        <v>202</v>
      </c>
      <c r="H189" s="21" t="s">
        <v>32</v>
      </c>
      <c r="I189" s="16" t="s">
        <v>11</v>
      </c>
      <c r="J189" s="16" t="s">
        <v>130</v>
      </c>
      <c r="K189" s="16" t="s">
        <v>131</v>
      </c>
      <c r="L189" s="16"/>
      <c r="M189" s="16"/>
      <c r="N189" s="23" t="str">
        <f>HYPERLINK("http://slimages.macys.com/is/image/MCY/20352544 ")</f>
        <v xml:space="preserve">http://slimages.macys.com/is/image/MCY/20352544 </v>
      </c>
    </row>
    <row r="190" spans="1:14" x14ac:dyDescent="0.25">
      <c r="A190" s="21" t="s">
        <v>632</v>
      </c>
      <c r="B190" s="16" t="s">
        <v>633</v>
      </c>
      <c r="C190" s="17">
        <v>1</v>
      </c>
      <c r="D190" s="22">
        <v>22.99</v>
      </c>
      <c r="E190" s="22">
        <v>22.99</v>
      </c>
      <c r="F190" s="17" t="s">
        <v>134</v>
      </c>
      <c r="G190" s="16" t="s">
        <v>202</v>
      </c>
      <c r="H190" s="21" t="s">
        <v>55</v>
      </c>
      <c r="I190" s="16" t="s">
        <v>11</v>
      </c>
      <c r="J190" s="16" t="s">
        <v>130</v>
      </c>
      <c r="K190" s="16" t="s">
        <v>131</v>
      </c>
      <c r="L190" s="16"/>
      <c r="M190" s="16"/>
      <c r="N190" s="23" t="str">
        <f>HYPERLINK("http://slimages.macys.com/is/image/MCY/20352544 ")</f>
        <v xml:space="preserve">http://slimages.macys.com/is/image/MCY/20352544 </v>
      </c>
    </row>
    <row r="191" spans="1:14" x14ac:dyDescent="0.25">
      <c r="A191" s="21" t="s">
        <v>634</v>
      </c>
      <c r="B191" s="16" t="s">
        <v>635</v>
      </c>
      <c r="C191" s="17">
        <v>2</v>
      </c>
      <c r="D191" s="22">
        <v>22.99</v>
      </c>
      <c r="E191" s="22">
        <v>45.98</v>
      </c>
      <c r="F191" s="17" t="s">
        <v>134</v>
      </c>
      <c r="G191" s="16" t="s">
        <v>202</v>
      </c>
      <c r="H191" s="21" t="s">
        <v>27</v>
      </c>
      <c r="I191" s="16" t="s">
        <v>11</v>
      </c>
      <c r="J191" s="16" t="s">
        <v>130</v>
      </c>
      <c r="K191" s="16" t="s">
        <v>131</v>
      </c>
      <c r="L191" s="16"/>
      <c r="M191" s="16"/>
      <c r="N191" s="23" t="str">
        <f>HYPERLINK("http://slimages.macys.com/is/image/MCY/20352544 ")</f>
        <v xml:space="preserve">http://slimages.macys.com/is/image/MCY/20352544 </v>
      </c>
    </row>
    <row r="192" spans="1:14" x14ac:dyDescent="0.25">
      <c r="A192" s="21" t="s">
        <v>2204</v>
      </c>
      <c r="B192" s="16" t="s">
        <v>2205</v>
      </c>
      <c r="C192" s="17">
        <v>1</v>
      </c>
      <c r="D192" s="22">
        <v>17.989999999999998</v>
      </c>
      <c r="E192" s="22">
        <v>17.989999999999998</v>
      </c>
      <c r="F192" s="17" t="s">
        <v>2206</v>
      </c>
      <c r="G192" s="16" t="s">
        <v>62</v>
      </c>
      <c r="H192" s="21" t="s">
        <v>55</v>
      </c>
      <c r="I192" s="16" t="s">
        <v>11</v>
      </c>
      <c r="J192" s="16" t="s">
        <v>130</v>
      </c>
      <c r="K192" s="16" t="s">
        <v>131</v>
      </c>
      <c r="L192" s="16"/>
      <c r="M192" s="16"/>
      <c r="N192" s="23" t="str">
        <f>HYPERLINK("http://slimages.macys.com/is/image/MCY/19612262 ")</f>
        <v xml:space="preserve">http://slimages.macys.com/is/image/MCY/19612262 </v>
      </c>
    </row>
    <row r="193" spans="1:14" x14ac:dyDescent="0.25">
      <c r="A193" s="21" t="s">
        <v>2210</v>
      </c>
      <c r="B193" s="16" t="s">
        <v>2211</v>
      </c>
      <c r="C193" s="17">
        <v>1</v>
      </c>
      <c r="D193" s="22">
        <v>19.989999999999998</v>
      </c>
      <c r="E193" s="22">
        <v>19.989999999999998</v>
      </c>
      <c r="F193" s="17" t="s">
        <v>2209</v>
      </c>
      <c r="G193" s="16" t="s">
        <v>140</v>
      </c>
      <c r="H193" s="21" t="s">
        <v>27</v>
      </c>
      <c r="I193" s="16" t="s">
        <v>11</v>
      </c>
      <c r="J193" s="16" t="s">
        <v>130</v>
      </c>
      <c r="K193" s="16" t="s">
        <v>131</v>
      </c>
      <c r="L193" s="16"/>
      <c r="M193" s="16"/>
      <c r="N193" s="23" t="str">
        <f>HYPERLINK("http://slimages.macys.com/is/image/MCY/18531130 ")</f>
        <v xml:space="preserve">http://slimages.macys.com/is/image/MCY/18531130 </v>
      </c>
    </row>
    <row r="194" spans="1:14" x14ac:dyDescent="0.25">
      <c r="A194" s="21" t="s">
        <v>2207</v>
      </c>
      <c r="B194" s="16" t="s">
        <v>2208</v>
      </c>
      <c r="C194" s="17">
        <v>1</v>
      </c>
      <c r="D194" s="22">
        <v>19.989999999999998</v>
      </c>
      <c r="E194" s="22">
        <v>19.989999999999998</v>
      </c>
      <c r="F194" s="17" t="s">
        <v>2209</v>
      </c>
      <c r="G194" s="16" t="s">
        <v>140</v>
      </c>
      <c r="H194" s="21" t="s">
        <v>87</v>
      </c>
      <c r="I194" s="16" t="s">
        <v>11</v>
      </c>
      <c r="J194" s="16" t="s">
        <v>130</v>
      </c>
      <c r="K194" s="16" t="s">
        <v>131</v>
      </c>
      <c r="L194" s="16"/>
      <c r="M194" s="16"/>
      <c r="N194" s="23" t="str">
        <f>HYPERLINK("http://slimages.macys.com/is/image/MCY/18531130 ")</f>
        <v xml:space="preserve">http://slimages.macys.com/is/image/MCY/18531130 </v>
      </c>
    </row>
    <row r="195" spans="1:14" x14ac:dyDescent="0.25">
      <c r="A195" s="21" t="s">
        <v>2166</v>
      </c>
      <c r="B195" s="16" t="s">
        <v>2167</v>
      </c>
      <c r="C195" s="17">
        <v>1</v>
      </c>
      <c r="D195" s="22">
        <v>32.99</v>
      </c>
      <c r="E195" s="22">
        <v>32.99</v>
      </c>
      <c r="F195" s="17" t="s">
        <v>1156</v>
      </c>
      <c r="G195" s="16" t="s">
        <v>37</v>
      </c>
      <c r="H195" s="21" t="s">
        <v>27</v>
      </c>
      <c r="I195" s="16" t="s">
        <v>11</v>
      </c>
      <c r="J195" s="16" t="s">
        <v>130</v>
      </c>
      <c r="K195" s="16" t="s">
        <v>131</v>
      </c>
      <c r="L195" s="16"/>
      <c r="M195" s="16"/>
      <c r="N195" s="23" t="str">
        <f>HYPERLINK("http://slimages.macys.com/is/image/MCY/19224695 ")</f>
        <v xml:space="preserve">http://slimages.macys.com/is/image/MCY/19224695 </v>
      </c>
    </row>
    <row r="196" spans="1:14" x14ac:dyDescent="0.25">
      <c r="A196" s="21" t="s">
        <v>2687</v>
      </c>
      <c r="B196" s="16" t="s">
        <v>2688</v>
      </c>
      <c r="C196" s="17">
        <v>1</v>
      </c>
      <c r="D196" s="22">
        <v>5.6</v>
      </c>
      <c r="E196" s="22">
        <v>5.6</v>
      </c>
      <c r="F196" s="17">
        <v>100117228</v>
      </c>
      <c r="G196" s="16" t="s">
        <v>140</v>
      </c>
      <c r="H196" s="21" t="s">
        <v>40</v>
      </c>
      <c r="I196" s="16" t="s">
        <v>11</v>
      </c>
      <c r="J196" s="16" t="s">
        <v>457</v>
      </c>
      <c r="K196" s="16" t="s">
        <v>485</v>
      </c>
      <c r="L196" s="16"/>
      <c r="M196" s="16"/>
      <c r="N196" s="23" t="str">
        <f>HYPERLINK("http://slimages.macys.com/is/image/MCY/19278257 ")</f>
        <v xml:space="preserve">http://slimages.macys.com/is/image/MCY/19278257 </v>
      </c>
    </row>
    <row r="197" spans="1:14" x14ac:dyDescent="0.25">
      <c r="A197" s="21" t="s">
        <v>1107</v>
      </c>
      <c r="B197" s="16" t="s">
        <v>1108</v>
      </c>
      <c r="C197" s="17">
        <v>1</v>
      </c>
      <c r="D197" s="22">
        <v>5.6</v>
      </c>
      <c r="E197" s="22">
        <v>5.6</v>
      </c>
      <c r="F197" s="17">
        <v>100131405</v>
      </c>
      <c r="G197" s="16" t="s">
        <v>78</v>
      </c>
      <c r="H197" s="21" t="s">
        <v>32</v>
      </c>
      <c r="I197" s="16" t="s">
        <v>11</v>
      </c>
      <c r="J197" s="16" t="s">
        <v>457</v>
      </c>
      <c r="K197" s="16" t="s">
        <v>485</v>
      </c>
      <c r="L197" s="16"/>
      <c r="M197" s="16"/>
      <c r="N197" s="23" t="str">
        <f t="shared" ref="N197:N204" si="3">HYPERLINK("http://slimages.macys.com/is/image/MCY/19412957 ")</f>
        <v xml:space="preserve">http://slimages.macys.com/is/image/MCY/19412957 </v>
      </c>
    </row>
    <row r="198" spans="1:14" x14ac:dyDescent="0.25">
      <c r="A198" s="21" t="s">
        <v>519</v>
      </c>
      <c r="B198" s="16" t="s">
        <v>520</v>
      </c>
      <c r="C198" s="17">
        <v>2</v>
      </c>
      <c r="D198" s="22">
        <v>5.6</v>
      </c>
      <c r="E198" s="22">
        <v>11.2</v>
      </c>
      <c r="F198" s="17">
        <v>100131405</v>
      </c>
      <c r="G198" s="16" t="s">
        <v>78</v>
      </c>
      <c r="H198" s="21" t="s">
        <v>27</v>
      </c>
      <c r="I198" s="16" t="s">
        <v>11</v>
      </c>
      <c r="J198" s="16" t="s">
        <v>457</v>
      </c>
      <c r="K198" s="16" t="s">
        <v>485</v>
      </c>
      <c r="L198" s="16"/>
      <c r="M198" s="16"/>
      <c r="N198" s="23" t="str">
        <f t="shared" si="3"/>
        <v xml:space="preserve">http://slimages.macys.com/is/image/MCY/19412957 </v>
      </c>
    </row>
    <row r="199" spans="1:14" x14ac:dyDescent="0.25">
      <c r="A199" s="21" t="s">
        <v>517</v>
      </c>
      <c r="B199" s="16" t="s">
        <v>518</v>
      </c>
      <c r="C199" s="17">
        <v>2</v>
      </c>
      <c r="D199" s="22">
        <v>5.6</v>
      </c>
      <c r="E199" s="22">
        <v>11.2</v>
      </c>
      <c r="F199" s="17">
        <v>100131405</v>
      </c>
      <c r="G199" s="16" t="s">
        <v>78</v>
      </c>
      <c r="H199" s="21" t="s">
        <v>87</v>
      </c>
      <c r="I199" s="16" t="s">
        <v>11</v>
      </c>
      <c r="J199" s="16" t="s">
        <v>457</v>
      </c>
      <c r="K199" s="16" t="s">
        <v>485</v>
      </c>
      <c r="L199" s="16"/>
      <c r="M199" s="16"/>
      <c r="N199" s="23" t="str">
        <f t="shared" si="3"/>
        <v xml:space="preserve">http://slimages.macys.com/is/image/MCY/19412957 </v>
      </c>
    </row>
    <row r="200" spans="1:14" x14ac:dyDescent="0.25">
      <c r="A200" s="21" t="s">
        <v>877</v>
      </c>
      <c r="B200" s="16" t="s">
        <v>878</v>
      </c>
      <c r="C200" s="17">
        <v>6</v>
      </c>
      <c r="D200" s="22">
        <v>5.6</v>
      </c>
      <c r="E200" s="22">
        <v>33.6</v>
      </c>
      <c r="F200" s="17">
        <v>100131399</v>
      </c>
      <c r="G200" s="16" t="s">
        <v>104</v>
      </c>
      <c r="H200" s="21" t="s">
        <v>32</v>
      </c>
      <c r="I200" s="16" t="s">
        <v>11</v>
      </c>
      <c r="J200" s="16" t="s">
        <v>457</v>
      </c>
      <c r="K200" s="16" t="s">
        <v>485</v>
      </c>
      <c r="L200" s="16"/>
      <c r="M200" s="16"/>
      <c r="N200" s="23" t="str">
        <f t="shared" si="3"/>
        <v xml:space="preserve">http://slimages.macys.com/is/image/MCY/19412957 </v>
      </c>
    </row>
    <row r="201" spans="1:14" x14ac:dyDescent="0.25">
      <c r="A201" s="21" t="s">
        <v>1111</v>
      </c>
      <c r="B201" s="16" t="s">
        <v>1112</v>
      </c>
      <c r="C201" s="17">
        <v>3</v>
      </c>
      <c r="D201" s="22">
        <v>5.6</v>
      </c>
      <c r="E201" s="22">
        <v>16.8</v>
      </c>
      <c r="F201" s="17">
        <v>100131399</v>
      </c>
      <c r="G201" s="16" t="s">
        <v>104</v>
      </c>
      <c r="H201" s="21" t="s">
        <v>40</v>
      </c>
      <c r="I201" s="16" t="s">
        <v>11</v>
      </c>
      <c r="J201" s="16" t="s">
        <v>457</v>
      </c>
      <c r="K201" s="16" t="s">
        <v>485</v>
      </c>
      <c r="L201" s="16"/>
      <c r="M201" s="16"/>
      <c r="N201" s="23" t="str">
        <f t="shared" si="3"/>
        <v xml:space="preserve">http://slimages.macys.com/is/image/MCY/19412957 </v>
      </c>
    </row>
    <row r="202" spans="1:14" x14ac:dyDescent="0.25">
      <c r="A202" s="21" t="s">
        <v>525</v>
      </c>
      <c r="B202" s="16" t="s">
        <v>526</v>
      </c>
      <c r="C202" s="17">
        <v>1</v>
      </c>
      <c r="D202" s="22">
        <v>5.6</v>
      </c>
      <c r="E202" s="22">
        <v>5.6</v>
      </c>
      <c r="F202" s="17">
        <v>100131399</v>
      </c>
      <c r="G202" s="16" t="s">
        <v>104</v>
      </c>
      <c r="H202" s="21" t="s">
        <v>55</v>
      </c>
      <c r="I202" s="16" t="s">
        <v>11</v>
      </c>
      <c r="J202" s="16" t="s">
        <v>457</v>
      </c>
      <c r="K202" s="16" t="s">
        <v>485</v>
      </c>
      <c r="L202" s="16"/>
      <c r="M202" s="16"/>
      <c r="N202" s="23" t="str">
        <f t="shared" si="3"/>
        <v xml:space="preserve">http://slimages.macys.com/is/image/MCY/19412957 </v>
      </c>
    </row>
    <row r="203" spans="1:14" x14ac:dyDescent="0.25">
      <c r="A203" s="21" t="s">
        <v>521</v>
      </c>
      <c r="B203" s="16" t="s">
        <v>522</v>
      </c>
      <c r="C203" s="17">
        <v>5</v>
      </c>
      <c r="D203" s="22">
        <v>5.6</v>
      </c>
      <c r="E203" s="22">
        <v>28</v>
      </c>
      <c r="F203" s="17">
        <v>100131399</v>
      </c>
      <c r="G203" s="16" t="s">
        <v>104</v>
      </c>
      <c r="H203" s="21" t="s">
        <v>27</v>
      </c>
      <c r="I203" s="16" t="s">
        <v>11</v>
      </c>
      <c r="J203" s="16" t="s">
        <v>457</v>
      </c>
      <c r="K203" s="16" t="s">
        <v>485</v>
      </c>
      <c r="L203" s="16"/>
      <c r="M203" s="16"/>
      <c r="N203" s="23" t="str">
        <f t="shared" si="3"/>
        <v xml:space="preserve">http://slimages.macys.com/is/image/MCY/19412957 </v>
      </c>
    </row>
    <row r="204" spans="1:14" x14ac:dyDescent="0.25">
      <c r="A204" s="21" t="s">
        <v>881</v>
      </c>
      <c r="B204" s="16" t="s">
        <v>882</v>
      </c>
      <c r="C204" s="17">
        <v>1</v>
      </c>
      <c r="D204" s="22">
        <v>5.6</v>
      </c>
      <c r="E204" s="22">
        <v>5.6</v>
      </c>
      <c r="F204" s="17">
        <v>100131406</v>
      </c>
      <c r="G204" s="16" t="s">
        <v>62</v>
      </c>
      <c r="H204" s="21" t="s">
        <v>40</v>
      </c>
      <c r="I204" s="16" t="s">
        <v>11</v>
      </c>
      <c r="J204" s="16" t="s">
        <v>457</v>
      </c>
      <c r="K204" s="16" t="s">
        <v>485</v>
      </c>
      <c r="L204" s="16"/>
      <c r="M204" s="16"/>
      <c r="N204" s="23" t="str">
        <f t="shared" si="3"/>
        <v xml:space="preserve">http://slimages.macys.com/is/image/MCY/19412957 </v>
      </c>
    </row>
    <row r="205" spans="1:14" x14ac:dyDescent="0.25">
      <c r="A205" s="21" t="s">
        <v>523</v>
      </c>
      <c r="B205" s="16" t="s">
        <v>524</v>
      </c>
      <c r="C205" s="17">
        <v>1</v>
      </c>
      <c r="D205" s="22">
        <v>5.6</v>
      </c>
      <c r="E205" s="22">
        <v>5.6</v>
      </c>
      <c r="F205" s="17">
        <v>100131406</v>
      </c>
      <c r="G205" s="16" t="s">
        <v>62</v>
      </c>
      <c r="H205" s="21" t="s">
        <v>27</v>
      </c>
      <c r="I205" s="16" t="s">
        <v>11</v>
      </c>
      <c r="J205" s="16" t="s">
        <v>457</v>
      </c>
      <c r="K205" s="16" t="s">
        <v>485</v>
      </c>
      <c r="L205" s="16"/>
      <c r="M205" s="16"/>
      <c r="N205" s="23" t="str">
        <f>HYPERLINK("http://slimages.macys.com/is/image/MCY/19877130 ")</f>
        <v xml:space="preserve">http://slimages.macys.com/is/image/MCY/19877130 </v>
      </c>
    </row>
    <row r="206" spans="1:14" x14ac:dyDescent="0.25">
      <c r="A206" s="21" t="s">
        <v>527</v>
      </c>
      <c r="B206" s="16" t="s">
        <v>528</v>
      </c>
      <c r="C206" s="17">
        <v>2</v>
      </c>
      <c r="D206" s="22">
        <v>5.6</v>
      </c>
      <c r="E206" s="22">
        <v>11.2</v>
      </c>
      <c r="F206" s="17">
        <v>100131406</v>
      </c>
      <c r="G206" s="16" t="s">
        <v>62</v>
      </c>
      <c r="H206" s="21" t="s">
        <v>87</v>
      </c>
      <c r="I206" s="16" t="s">
        <v>11</v>
      </c>
      <c r="J206" s="16" t="s">
        <v>457</v>
      </c>
      <c r="K206" s="16" t="s">
        <v>485</v>
      </c>
      <c r="L206" s="16"/>
      <c r="M206" s="16"/>
      <c r="N206" s="23" t="str">
        <f>HYPERLINK("http://slimages.macys.com/is/image/MCY/19877130 ")</f>
        <v xml:space="preserve">http://slimages.macys.com/is/image/MCY/19877130 </v>
      </c>
    </row>
    <row r="207" spans="1:14" x14ac:dyDescent="0.25">
      <c r="A207" s="21" t="s">
        <v>505</v>
      </c>
      <c r="B207" s="16" t="s">
        <v>506</v>
      </c>
      <c r="C207" s="17">
        <v>3</v>
      </c>
      <c r="D207" s="22">
        <v>5.6</v>
      </c>
      <c r="E207" s="22">
        <v>16.8</v>
      </c>
      <c r="F207" s="17">
        <v>100131403</v>
      </c>
      <c r="G207" s="16" t="s">
        <v>62</v>
      </c>
      <c r="H207" s="21" t="s">
        <v>32</v>
      </c>
      <c r="I207" s="16" t="s">
        <v>11</v>
      </c>
      <c r="J207" s="16" t="s">
        <v>457</v>
      </c>
      <c r="K207" s="16" t="s">
        <v>485</v>
      </c>
      <c r="L207" s="16"/>
      <c r="M207" s="16"/>
      <c r="N207" s="23" t="str">
        <f>HYPERLINK("http://slimages.macys.com/is/image/MCY/19877130 ")</f>
        <v xml:space="preserve">http://slimages.macys.com/is/image/MCY/19877130 </v>
      </c>
    </row>
    <row r="208" spans="1:14" x14ac:dyDescent="0.25">
      <c r="A208" s="21" t="s">
        <v>507</v>
      </c>
      <c r="B208" s="16" t="s">
        <v>508</v>
      </c>
      <c r="C208" s="17">
        <v>1</v>
      </c>
      <c r="D208" s="22">
        <v>5.6</v>
      </c>
      <c r="E208" s="22">
        <v>5.6</v>
      </c>
      <c r="F208" s="17">
        <v>100131403</v>
      </c>
      <c r="G208" s="16" t="s">
        <v>62</v>
      </c>
      <c r="H208" s="21" t="s">
        <v>27</v>
      </c>
      <c r="I208" s="16" t="s">
        <v>11</v>
      </c>
      <c r="J208" s="16" t="s">
        <v>457</v>
      </c>
      <c r="K208" s="16" t="s">
        <v>485</v>
      </c>
      <c r="L208" s="16"/>
      <c r="M208" s="16"/>
      <c r="N208" s="23" t="str">
        <f>HYPERLINK("http://slimages.macys.com/is/image/MCY/19877130 ")</f>
        <v xml:space="preserve">http://slimages.macys.com/is/image/MCY/19877130 </v>
      </c>
    </row>
    <row r="209" spans="1:14" x14ac:dyDescent="0.25">
      <c r="A209" s="21" t="s">
        <v>503</v>
      </c>
      <c r="B209" s="16" t="s">
        <v>504</v>
      </c>
      <c r="C209" s="17">
        <v>2</v>
      </c>
      <c r="D209" s="22">
        <v>5.6</v>
      </c>
      <c r="E209" s="22">
        <v>11.2</v>
      </c>
      <c r="F209" s="17">
        <v>100131403</v>
      </c>
      <c r="G209" s="16" t="s">
        <v>62</v>
      </c>
      <c r="H209" s="21" t="s">
        <v>87</v>
      </c>
      <c r="I209" s="16" t="s">
        <v>11</v>
      </c>
      <c r="J209" s="16" t="s">
        <v>457</v>
      </c>
      <c r="K209" s="16" t="s">
        <v>485</v>
      </c>
      <c r="L209" s="16"/>
      <c r="M209" s="16"/>
      <c r="N209" s="23" t="str">
        <f>HYPERLINK("http://slimages.macys.com/is/image/MCY/19877130 ")</f>
        <v xml:space="preserve">http://slimages.macys.com/is/image/MCY/19877130 </v>
      </c>
    </row>
    <row r="210" spans="1:14" x14ac:dyDescent="0.25">
      <c r="A210" s="21" t="s">
        <v>1109</v>
      </c>
      <c r="B210" s="16" t="s">
        <v>1110</v>
      </c>
      <c r="C210" s="17">
        <v>1</v>
      </c>
      <c r="D210" s="22">
        <v>5.6</v>
      </c>
      <c r="E210" s="22">
        <v>5.6</v>
      </c>
      <c r="F210" s="17">
        <v>100131404</v>
      </c>
      <c r="G210" s="16" t="s">
        <v>122</v>
      </c>
      <c r="H210" s="21" t="s">
        <v>55</v>
      </c>
      <c r="I210" s="16" t="s">
        <v>11</v>
      </c>
      <c r="J210" s="16" t="s">
        <v>457</v>
      </c>
      <c r="K210" s="16" t="s">
        <v>485</v>
      </c>
      <c r="L210" s="16"/>
      <c r="M210" s="16"/>
      <c r="N210" s="23" t="str">
        <f>HYPERLINK("http://slimages.macys.com/is/image/MCY/19412957 ")</f>
        <v xml:space="preserve">http://slimages.macys.com/is/image/MCY/19412957 </v>
      </c>
    </row>
    <row r="211" spans="1:14" x14ac:dyDescent="0.25">
      <c r="A211" s="21" t="s">
        <v>879</v>
      </c>
      <c r="B211" s="16" t="s">
        <v>880</v>
      </c>
      <c r="C211" s="17">
        <v>1</v>
      </c>
      <c r="D211" s="22">
        <v>5.6</v>
      </c>
      <c r="E211" s="22">
        <v>5.6</v>
      </c>
      <c r="F211" s="17">
        <v>100131404</v>
      </c>
      <c r="G211" s="16" t="s">
        <v>122</v>
      </c>
      <c r="H211" s="21" t="s">
        <v>87</v>
      </c>
      <c r="I211" s="16" t="s">
        <v>11</v>
      </c>
      <c r="J211" s="16" t="s">
        <v>457</v>
      </c>
      <c r="K211" s="16" t="s">
        <v>485</v>
      </c>
      <c r="L211" s="16"/>
      <c r="M211" s="16"/>
      <c r="N211" s="23" t="str">
        <f>HYPERLINK("http://slimages.macys.com/is/image/MCY/19412957 ")</f>
        <v xml:space="preserve">http://slimages.macys.com/is/image/MCY/19412957 </v>
      </c>
    </row>
    <row r="212" spans="1:14" x14ac:dyDescent="0.25">
      <c r="A212" s="21" t="s">
        <v>2739</v>
      </c>
      <c r="B212" s="16" t="s">
        <v>2740</v>
      </c>
      <c r="C212" s="17">
        <v>3</v>
      </c>
      <c r="D212" s="22">
        <v>31.5</v>
      </c>
      <c r="E212" s="22">
        <v>94.5</v>
      </c>
      <c r="F212" s="17" t="s">
        <v>1712</v>
      </c>
      <c r="G212" s="16" t="s">
        <v>349</v>
      </c>
      <c r="H212" s="21" t="s">
        <v>227</v>
      </c>
      <c r="I212" s="16" t="s">
        <v>11</v>
      </c>
      <c r="J212" s="16" t="s">
        <v>539</v>
      </c>
      <c r="K212" s="16" t="s">
        <v>551</v>
      </c>
      <c r="L212" s="16"/>
      <c r="M212" s="16"/>
      <c r="N212" s="23" t="str">
        <f>HYPERLINK("http://slimages.macys.com/is/image/MCY/18992026 ")</f>
        <v xml:space="preserve">http://slimages.macys.com/is/image/MCY/18992026 </v>
      </c>
    </row>
    <row r="213" spans="1:14" x14ac:dyDescent="0.25">
      <c r="A213" s="21" t="s">
        <v>2741</v>
      </c>
      <c r="B213" s="16" t="s">
        <v>2742</v>
      </c>
      <c r="C213" s="17">
        <v>1</v>
      </c>
      <c r="D213" s="22">
        <v>44.25</v>
      </c>
      <c r="E213" s="22">
        <v>44.25</v>
      </c>
      <c r="F213" s="17" t="s">
        <v>2743</v>
      </c>
      <c r="G213" s="16" t="s">
        <v>26</v>
      </c>
      <c r="H213" s="21" t="s">
        <v>40</v>
      </c>
      <c r="I213" s="16" t="s">
        <v>11</v>
      </c>
      <c r="J213" s="16" t="s">
        <v>539</v>
      </c>
      <c r="K213" s="16" t="s">
        <v>1120</v>
      </c>
      <c r="L213" s="16"/>
      <c r="M213" s="16"/>
      <c r="N213" s="23" t="str">
        <f>HYPERLINK("http://slimages.macys.com/is/image/MCY/18744649 ")</f>
        <v xml:space="preserve">http://slimages.macys.com/is/image/MCY/18744649 </v>
      </c>
    </row>
    <row r="214" spans="1:14" x14ac:dyDescent="0.25">
      <c r="A214" s="21" t="s">
        <v>2747</v>
      </c>
      <c r="B214" s="16" t="s">
        <v>2748</v>
      </c>
      <c r="C214" s="17">
        <v>2</v>
      </c>
      <c r="D214" s="22">
        <v>36.75</v>
      </c>
      <c r="E214" s="22">
        <v>73.5</v>
      </c>
      <c r="F214" s="17" t="s">
        <v>2746</v>
      </c>
      <c r="G214" s="16" t="s">
        <v>83</v>
      </c>
      <c r="H214" s="21" t="s">
        <v>32</v>
      </c>
      <c r="I214" s="16" t="s">
        <v>11</v>
      </c>
      <c r="J214" s="16" t="s">
        <v>539</v>
      </c>
      <c r="K214" s="16" t="s">
        <v>1120</v>
      </c>
      <c r="L214" s="16"/>
      <c r="M214" s="16"/>
      <c r="N214" s="23" t="str">
        <f>HYPERLINK("http://slimages.macys.com/is/image/MCY/19063692 ")</f>
        <v xml:space="preserve">http://slimages.macys.com/is/image/MCY/19063692 </v>
      </c>
    </row>
    <row r="215" spans="1:14" x14ac:dyDescent="0.25">
      <c r="A215" s="21" t="s">
        <v>2744</v>
      </c>
      <c r="B215" s="16" t="s">
        <v>2745</v>
      </c>
      <c r="C215" s="17">
        <v>1</v>
      </c>
      <c r="D215" s="22">
        <v>36.75</v>
      </c>
      <c r="E215" s="22">
        <v>36.75</v>
      </c>
      <c r="F215" s="17" t="s">
        <v>2746</v>
      </c>
      <c r="G215" s="16" t="s">
        <v>83</v>
      </c>
      <c r="H215" s="21" t="s">
        <v>40</v>
      </c>
      <c r="I215" s="16" t="s">
        <v>11</v>
      </c>
      <c r="J215" s="16" t="s">
        <v>539</v>
      </c>
      <c r="K215" s="16" t="s">
        <v>1120</v>
      </c>
      <c r="L215" s="16"/>
      <c r="M215" s="16"/>
      <c r="N215" s="23" t="str">
        <f>HYPERLINK("http://slimages.macys.com/is/image/MCY/19063692 ")</f>
        <v xml:space="preserve">http://slimages.macys.com/is/image/MCY/19063692 </v>
      </c>
    </row>
    <row r="216" spans="1:14" x14ac:dyDescent="0.25">
      <c r="A216" s="21" t="s">
        <v>2749</v>
      </c>
      <c r="B216" s="16" t="s">
        <v>2750</v>
      </c>
      <c r="C216" s="17">
        <v>1</v>
      </c>
      <c r="D216" s="22">
        <v>36.75</v>
      </c>
      <c r="E216" s="22">
        <v>36.75</v>
      </c>
      <c r="F216" s="17" t="s">
        <v>1587</v>
      </c>
      <c r="G216" s="16" t="s">
        <v>37</v>
      </c>
      <c r="H216" s="21" t="s">
        <v>32</v>
      </c>
      <c r="I216" s="16" t="s">
        <v>11</v>
      </c>
      <c r="J216" s="16" t="s">
        <v>539</v>
      </c>
      <c r="K216" s="16" t="s">
        <v>1120</v>
      </c>
      <c r="L216" s="16"/>
      <c r="M216" s="16"/>
      <c r="N216" s="23" t="str">
        <f>HYPERLINK("http://slimages.macys.com/is/image/MCY/19063719 ")</f>
        <v xml:space="preserve">http://slimages.macys.com/is/image/MCY/19063719 </v>
      </c>
    </row>
    <row r="217" spans="1:14" x14ac:dyDescent="0.25">
      <c r="A217" s="21" t="s">
        <v>2486</v>
      </c>
      <c r="B217" s="16" t="s">
        <v>2487</v>
      </c>
      <c r="C217" s="17">
        <v>1</v>
      </c>
      <c r="D217" s="22">
        <v>69</v>
      </c>
      <c r="E217" s="22">
        <v>69</v>
      </c>
      <c r="F217" s="17" t="s">
        <v>1946</v>
      </c>
      <c r="G217" s="16" t="s">
        <v>31</v>
      </c>
      <c r="H217" s="21" t="s">
        <v>227</v>
      </c>
      <c r="I217" s="16" t="s">
        <v>11</v>
      </c>
      <c r="J217" s="16" t="s">
        <v>343</v>
      </c>
      <c r="K217" s="16" t="s">
        <v>344</v>
      </c>
      <c r="L217" s="16" t="s">
        <v>111</v>
      </c>
      <c r="M217" s="16" t="s">
        <v>1949</v>
      </c>
      <c r="N217" s="23" t="str">
        <f>HYPERLINK("http://slimages.macys.com/is/image/MCY/19585610 ")</f>
        <v xml:space="preserve">http://slimages.macys.com/is/image/MCY/19585610 </v>
      </c>
    </row>
    <row r="218" spans="1:14" x14ac:dyDescent="0.25">
      <c r="A218" s="21" t="s">
        <v>2488</v>
      </c>
      <c r="B218" s="16" t="s">
        <v>2489</v>
      </c>
      <c r="C218" s="17">
        <v>1</v>
      </c>
      <c r="D218" s="22">
        <v>64</v>
      </c>
      <c r="E218" s="22">
        <v>64</v>
      </c>
      <c r="F218" s="17" t="s">
        <v>345</v>
      </c>
      <c r="G218" s="16" t="s">
        <v>78</v>
      </c>
      <c r="H218" s="21" t="s">
        <v>32</v>
      </c>
      <c r="I218" s="16" t="s">
        <v>11</v>
      </c>
      <c r="J218" s="16" t="s">
        <v>343</v>
      </c>
      <c r="K218" s="16" t="s">
        <v>344</v>
      </c>
      <c r="L218" s="16"/>
      <c r="M218" s="16"/>
      <c r="N218" s="23" t="str">
        <f>HYPERLINK("http://slimages.macys.com/is/image/MCY/19262064 ")</f>
        <v xml:space="preserve">http://slimages.macys.com/is/image/MCY/19262064 </v>
      </c>
    </row>
    <row r="219" spans="1:14" x14ac:dyDescent="0.25">
      <c r="A219" s="21" t="s">
        <v>2712</v>
      </c>
      <c r="B219" s="16" t="s">
        <v>2713</v>
      </c>
      <c r="C219" s="17">
        <v>1</v>
      </c>
      <c r="D219" s="22">
        <v>70</v>
      </c>
      <c r="E219" s="22">
        <v>70</v>
      </c>
      <c r="F219" s="17" t="s">
        <v>1117</v>
      </c>
      <c r="G219" s="16" t="s">
        <v>201</v>
      </c>
      <c r="H219" s="21" t="s">
        <v>227</v>
      </c>
      <c r="I219" s="16" t="s">
        <v>11</v>
      </c>
      <c r="J219" s="16" t="s">
        <v>539</v>
      </c>
      <c r="K219" s="16" t="s">
        <v>540</v>
      </c>
      <c r="L219" s="16" t="s">
        <v>220</v>
      </c>
      <c r="M219" s="16" t="s">
        <v>890</v>
      </c>
      <c r="N219" s="23" t="str">
        <f>HYPERLINK("http://images.bloomingdales.com/is/image/BLM/11473706 ")</f>
        <v xml:space="preserve">http://images.bloomingdales.com/is/image/BLM/11473706 </v>
      </c>
    </row>
    <row r="220" spans="1:14" x14ac:dyDescent="0.25">
      <c r="A220" s="21" t="s">
        <v>1381</v>
      </c>
      <c r="B220" s="16" t="s">
        <v>1382</v>
      </c>
      <c r="C220" s="17">
        <v>3</v>
      </c>
      <c r="D220" s="22">
        <v>16</v>
      </c>
      <c r="E220" s="22">
        <v>48</v>
      </c>
      <c r="F220" s="17" t="s">
        <v>1383</v>
      </c>
      <c r="G220" s="16" t="s">
        <v>31</v>
      </c>
      <c r="H220" s="21" t="s">
        <v>27</v>
      </c>
      <c r="I220" s="16" t="s">
        <v>11</v>
      </c>
      <c r="J220" s="16" t="s">
        <v>533</v>
      </c>
      <c r="K220" s="16" t="s">
        <v>1379</v>
      </c>
      <c r="L220" s="16" t="s">
        <v>111</v>
      </c>
      <c r="M220" s="16" t="s">
        <v>1380</v>
      </c>
      <c r="N220" s="23" t="str">
        <f>HYPERLINK("http://slimages.macys.com/is/image/MCY/14357808 ")</f>
        <v xml:space="preserve">http://slimages.macys.com/is/image/MCY/14357808 </v>
      </c>
    </row>
    <row r="221" spans="1:14" x14ac:dyDescent="0.25">
      <c r="A221" s="21" t="s">
        <v>2340</v>
      </c>
      <c r="B221" s="16" t="s">
        <v>2341</v>
      </c>
      <c r="C221" s="17">
        <v>1</v>
      </c>
      <c r="D221" s="22">
        <v>34.99</v>
      </c>
      <c r="E221" s="22">
        <v>34.99</v>
      </c>
      <c r="F221" s="17">
        <v>100106068</v>
      </c>
      <c r="G221" s="16" t="s">
        <v>62</v>
      </c>
      <c r="H221" s="21" t="s">
        <v>40</v>
      </c>
      <c r="I221" s="16" t="s">
        <v>11</v>
      </c>
      <c r="J221" s="16" t="s">
        <v>260</v>
      </c>
      <c r="K221" s="16" t="s">
        <v>261</v>
      </c>
      <c r="L221" s="16"/>
      <c r="M221" s="16"/>
      <c r="N221" s="23" t="str">
        <f>HYPERLINK("http://slimages.macys.com/is/image/MCY/17924023 ")</f>
        <v xml:space="preserve">http://slimages.macys.com/is/image/MCY/17924023 </v>
      </c>
    </row>
    <row r="222" spans="1:14" x14ac:dyDescent="0.25">
      <c r="A222" s="21" t="s">
        <v>2337</v>
      </c>
      <c r="B222" s="16" t="s">
        <v>2338</v>
      </c>
      <c r="C222" s="17">
        <v>1</v>
      </c>
      <c r="D222" s="22">
        <v>37.99</v>
      </c>
      <c r="E222" s="22">
        <v>37.99</v>
      </c>
      <c r="F222" s="17">
        <v>100127396</v>
      </c>
      <c r="G222" s="16" t="s">
        <v>37</v>
      </c>
      <c r="H222" s="21" t="s">
        <v>2339</v>
      </c>
      <c r="I222" s="16" t="s">
        <v>11</v>
      </c>
      <c r="J222" s="16" t="s">
        <v>260</v>
      </c>
      <c r="K222" s="16" t="s">
        <v>261</v>
      </c>
      <c r="L222" s="16"/>
      <c r="M222" s="16"/>
      <c r="N222" s="23" t="str">
        <f>HYPERLINK("http://slimages.macys.com/is/image/MCY/19163269 ")</f>
        <v xml:space="preserve">http://slimages.macys.com/is/image/MCY/19163269 </v>
      </c>
    </row>
    <row r="223" spans="1:14" x14ac:dyDescent="0.25">
      <c r="A223" s="21" t="s">
        <v>2342</v>
      </c>
      <c r="B223" s="16" t="s">
        <v>2343</v>
      </c>
      <c r="C223" s="17">
        <v>1</v>
      </c>
      <c r="D223" s="22">
        <v>19.989999999999998</v>
      </c>
      <c r="E223" s="22">
        <v>19.989999999999998</v>
      </c>
      <c r="F223" s="17">
        <v>100110225</v>
      </c>
      <c r="G223" s="16" t="s">
        <v>122</v>
      </c>
      <c r="H223" s="21" t="s">
        <v>55</v>
      </c>
      <c r="I223" s="16" t="s">
        <v>11</v>
      </c>
      <c r="J223" s="16" t="s">
        <v>260</v>
      </c>
      <c r="K223" s="16" t="s">
        <v>996</v>
      </c>
      <c r="L223" s="16"/>
      <c r="M223" s="16"/>
      <c r="N223" s="23" t="str">
        <f>HYPERLINK("http://slimages.macys.com/is/image/MCY/17726896 ")</f>
        <v xml:space="preserve">http://slimages.macys.com/is/image/MCY/17726896 </v>
      </c>
    </row>
    <row r="224" spans="1:14" x14ac:dyDescent="0.25">
      <c r="A224" s="21" t="s">
        <v>1687</v>
      </c>
      <c r="B224" s="16" t="s">
        <v>2639</v>
      </c>
      <c r="C224" s="17">
        <v>2</v>
      </c>
      <c r="D224" s="22">
        <v>58</v>
      </c>
      <c r="E224" s="22">
        <v>116</v>
      </c>
      <c r="F224" s="17">
        <v>900647</v>
      </c>
      <c r="G224" s="16" t="s">
        <v>31</v>
      </c>
      <c r="H224" s="21" t="s">
        <v>32</v>
      </c>
      <c r="I224" s="16" t="s">
        <v>11</v>
      </c>
      <c r="J224" s="16" t="s">
        <v>343</v>
      </c>
      <c r="K224" s="16" t="s">
        <v>354</v>
      </c>
      <c r="L224" s="16"/>
      <c r="M224" s="16"/>
      <c r="N224" s="23" t="str">
        <f>HYPERLINK("http://slimages.macys.com/is/image/MCY/19539364 ")</f>
        <v xml:space="preserve">http://slimages.macys.com/is/image/MCY/19539364 </v>
      </c>
    </row>
    <row r="225" spans="1:14" x14ac:dyDescent="0.25">
      <c r="A225" s="21" t="s">
        <v>2640</v>
      </c>
      <c r="B225" s="16" t="s">
        <v>2641</v>
      </c>
      <c r="C225" s="17">
        <v>1</v>
      </c>
      <c r="D225" s="22">
        <v>58</v>
      </c>
      <c r="E225" s="22">
        <v>58</v>
      </c>
      <c r="F225" s="17">
        <v>900647</v>
      </c>
      <c r="G225" s="16" t="s">
        <v>31</v>
      </c>
      <c r="H225" s="21" t="s">
        <v>55</v>
      </c>
      <c r="I225" s="16" t="s">
        <v>11</v>
      </c>
      <c r="J225" s="16" t="s">
        <v>343</v>
      </c>
      <c r="K225" s="16" t="s">
        <v>354</v>
      </c>
      <c r="L225" s="16"/>
      <c r="M225" s="16"/>
      <c r="N225" s="23" t="str">
        <f>HYPERLINK("http://slimages.macys.com/is/image/MCY/19539364 ")</f>
        <v xml:space="preserve">http://slimages.macys.com/is/image/MCY/19539364 </v>
      </c>
    </row>
    <row r="226" spans="1:14" x14ac:dyDescent="0.25">
      <c r="A226" s="21" t="s">
        <v>766</v>
      </c>
      <c r="B226" s="16" t="s">
        <v>767</v>
      </c>
      <c r="C226" s="17">
        <v>1</v>
      </c>
      <c r="D226" s="22">
        <v>65</v>
      </c>
      <c r="E226" s="22">
        <v>65</v>
      </c>
      <c r="F226" s="17">
        <v>900497</v>
      </c>
      <c r="G226" s="16" t="s">
        <v>31</v>
      </c>
      <c r="H226" s="21" t="s">
        <v>40</v>
      </c>
      <c r="I226" s="16" t="s">
        <v>11</v>
      </c>
      <c r="J226" s="16" t="s">
        <v>343</v>
      </c>
      <c r="K226" s="16" t="s">
        <v>354</v>
      </c>
      <c r="L226" s="16"/>
      <c r="M226" s="16"/>
      <c r="N226" s="23" t="str">
        <f>HYPERLINK("http://slimages.macys.com/is/image/MCY/17455129 ")</f>
        <v xml:space="preserve">http://slimages.macys.com/is/image/MCY/17455129 </v>
      </c>
    </row>
    <row r="227" spans="1:14" x14ac:dyDescent="0.25">
      <c r="A227" s="21" t="s">
        <v>1039</v>
      </c>
      <c r="B227" s="16" t="s">
        <v>1040</v>
      </c>
      <c r="C227" s="17">
        <v>1</v>
      </c>
      <c r="D227" s="22">
        <v>33.6</v>
      </c>
      <c r="E227" s="22">
        <v>33.6</v>
      </c>
      <c r="F227" s="17">
        <v>900264</v>
      </c>
      <c r="G227" s="16" t="s">
        <v>86</v>
      </c>
      <c r="H227" s="21" t="s">
        <v>40</v>
      </c>
      <c r="I227" s="16" t="s">
        <v>11</v>
      </c>
      <c r="J227" s="16" t="s">
        <v>343</v>
      </c>
      <c r="K227" s="16" t="s">
        <v>354</v>
      </c>
      <c r="L227" s="16"/>
      <c r="M227" s="16"/>
      <c r="N227" s="23" t="str">
        <f>HYPERLINK("http://slimages.macys.com/is/image/MCY/17455016 ")</f>
        <v xml:space="preserve">http://slimages.macys.com/is/image/MCY/17455016 </v>
      </c>
    </row>
    <row r="228" spans="1:14" x14ac:dyDescent="0.25">
      <c r="A228" s="21" t="s">
        <v>2561</v>
      </c>
      <c r="B228" s="16" t="s">
        <v>2562</v>
      </c>
      <c r="C228" s="17">
        <v>1</v>
      </c>
      <c r="D228" s="22">
        <v>33.6</v>
      </c>
      <c r="E228" s="22">
        <v>33.6</v>
      </c>
      <c r="F228" s="17">
        <v>900264</v>
      </c>
      <c r="G228" s="16" t="s">
        <v>62</v>
      </c>
      <c r="H228" s="21" t="s">
        <v>32</v>
      </c>
      <c r="I228" s="16" t="s">
        <v>11</v>
      </c>
      <c r="J228" s="16" t="s">
        <v>343</v>
      </c>
      <c r="K228" s="16" t="s">
        <v>354</v>
      </c>
      <c r="L228" s="16"/>
      <c r="M228" s="16"/>
      <c r="N228" s="23" t="str">
        <f>HYPERLINK("http://slimages.macys.com/is/image/MCY/17455016 ")</f>
        <v xml:space="preserve">http://slimages.macys.com/is/image/MCY/17455016 </v>
      </c>
    </row>
    <row r="229" spans="1:14" x14ac:dyDescent="0.25">
      <c r="A229" s="21" t="s">
        <v>2547</v>
      </c>
      <c r="B229" s="16" t="s">
        <v>2548</v>
      </c>
      <c r="C229" s="17">
        <v>1</v>
      </c>
      <c r="D229" s="22">
        <v>33.6</v>
      </c>
      <c r="E229" s="22">
        <v>33.6</v>
      </c>
      <c r="F229" s="17">
        <v>900264</v>
      </c>
      <c r="G229" s="16"/>
      <c r="H229" s="21" t="s">
        <v>40</v>
      </c>
      <c r="I229" s="16" t="s">
        <v>11</v>
      </c>
      <c r="J229" s="16" t="s">
        <v>343</v>
      </c>
      <c r="K229" s="16" t="s">
        <v>354</v>
      </c>
      <c r="L229" s="16"/>
      <c r="M229" s="16"/>
      <c r="N229" s="23" t="str">
        <f>HYPERLINK("http://slimages.macys.com/is/image/MCY/17455016 ")</f>
        <v xml:space="preserve">http://slimages.macys.com/is/image/MCY/17455016 </v>
      </c>
    </row>
    <row r="230" spans="1:14" x14ac:dyDescent="0.25">
      <c r="A230" s="21" t="s">
        <v>2554</v>
      </c>
      <c r="B230" s="16" t="s">
        <v>2548</v>
      </c>
      <c r="C230" s="17">
        <v>1</v>
      </c>
      <c r="D230" s="22">
        <v>33.6</v>
      </c>
      <c r="E230" s="22">
        <v>33.6</v>
      </c>
      <c r="F230" s="17">
        <v>900262</v>
      </c>
      <c r="G230" s="16"/>
      <c r="H230" s="21" t="s">
        <v>40</v>
      </c>
      <c r="I230" s="16" t="s">
        <v>11</v>
      </c>
      <c r="J230" s="16" t="s">
        <v>343</v>
      </c>
      <c r="K230" s="16" t="s">
        <v>354</v>
      </c>
      <c r="L230" s="16"/>
      <c r="M230" s="16"/>
      <c r="N230" s="23" t="str">
        <f>HYPERLINK("http://slimages.macys.com/is/image/MCY/17455028 ")</f>
        <v xml:space="preserve">http://slimages.macys.com/is/image/MCY/17455028 </v>
      </c>
    </row>
    <row r="231" spans="1:14" x14ac:dyDescent="0.25">
      <c r="A231" s="21" t="s">
        <v>2647</v>
      </c>
      <c r="B231" s="16" t="s">
        <v>2648</v>
      </c>
      <c r="C231" s="17">
        <v>2</v>
      </c>
      <c r="D231" s="22">
        <v>48</v>
      </c>
      <c r="E231" s="22">
        <v>96</v>
      </c>
      <c r="F231" s="17">
        <v>900626</v>
      </c>
      <c r="G231" s="16" t="s">
        <v>1625</v>
      </c>
      <c r="H231" s="21" t="s">
        <v>40</v>
      </c>
      <c r="I231" s="16" t="s">
        <v>11</v>
      </c>
      <c r="J231" s="16" t="s">
        <v>343</v>
      </c>
      <c r="K231" s="16" t="s">
        <v>354</v>
      </c>
      <c r="L231" s="16"/>
      <c r="M231" s="16"/>
      <c r="N231" s="23" t="str">
        <f>HYPERLINK("http://slimages.macys.com/is/image/MCY/19735420 ")</f>
        <v xml:space="preserve">http://slimages.macys.com/is/image/MCY/19735420 </v>
      </c>
    </row>
    <row r="232" spans="1:14" x14ac:dyDescent="0.25">
      <c r="A232" s="21" t="s">
        <v>2527</v>
      </c>
      <c r="B232" s="16" t="s">
        <v>2528</v>
      </c>
      <c r="C232" s="17">
        <v>1</v>
      </c>
      <c r="D232" s="22">
        <v>34</v>
      </c>
      <c r="E232" s="22">
        <v>34</v>
      </c>
      <c r="F232" s="17">
        <v>940121</v>
      </c>
      <c r="G232" s="16" t="s">
        <v>124</v>
      </c>
      <c r="H232" s="21" t="s">
        <v>55</v>
      </c>
      <c r="I232" s="16" t="s">
        <v>11</v>
      </c>
      <c r="J232" s="16" t="s">
        <v>343</v>
      </c>
      <c r="K232" s="16" t="s">
        <v>354</v>
      </c>
      <c r="L232" s="16"/>
      <c r="M232" s="16"/>
      <c r="N232" s="23" t="str">
        <f>HYPERLINK("http://slimages.macys.com/is/image/MCY/19568093 ")</f>
        <v xml:space="preserve">http://slimages.macys.com/is/image/MCY/19568093 </v>
      </c>
    </row>
    <row r="233" spans="1:14" x14ac:dyDescent="0.25">
      <c r="A233" s="21" t="s">
        <v>2607</v>
      </c>
      <c r="B233" s="16" t="s">
        <v>2608</v>
      </c>
      <c r="C233" s="17">
        <v>1</v>
      </c>
      <c r="D233" s="22">
        <v>26</v>
      </c>
      <c r="E233" s="22">
        <v>26</v>
      </c>
      <c r="F233" s="17">
        <v>790121</v>
      </c>
      <c r="G233" s="16" t="s">
        <v>102</v>
      </c>
      <c r="H233" s="21" t="s">
        <v>27</v>
      </c>
      <c r="I233" s="16" t="s">
        <v>11</v>
      </c>
      <c r="J233" s="16" t="s">
        <v>343</v>
      </c>
      <c r="K233" s="16" t="s">
        <v>354</v>
      </c>
      <c r="L233" s="16"/>
      <c r="M233" s="16"/>
      <c r="N233" s="23" t="str">
        <f>HYPERLINK("http://slimages.macys.com/is/image/MCY/18827376 ")</f>
        <v xml:space="preserve">http://slimages.macys.com/is/image/MCY/18827376 </v>
      </c>
    </row>
    <row r="234" spans="1:14" x14ac:dyDescent="0.25">
      <c r="A234" s="21" t="s">
        <v>2609</v>
      </c>
      <c r="B234" s="16" t="s">
        <v>2610</v>
      </c>
      <c r="C234" s="17">
        <v>1</v>
      </c>
      <c r="D234" s="22">
        <v>26</v>
      </c>
      <c r="E234" s="22">
        <v>26</v>
      </c>
      <c r="F234" s="17">
        <v>740121</v>
      </c>
      <c r="G234" s="16" t="s">
        <v>488</v>
      </c>
      <c r="H234" s="21" t="s">
        <v>32</v>
      </c>
      <c r="I234" s="16" t="s">
        <v>11</v>
      </c>
      <c r="J234" s="16" t="s">
        <v>343</v>
      </c>
      <c r="K234" s="16" t="s">
        <v>354</v>
      </c>
      <c r="L234" s="16"/>
      <c r="M234" s="16"/>
      <c r="N234" s="23" t="str">
        <f>HYPERLINK("http://slimages.macys.com/is/image/MCY/19385286 ")</f>
        <v xml:space="preserve">http://slimages.macys.com/is/image/MCY/19385286 </v>
      </c>
    </row>
    <row r="235" spans="1:14" x14ac:dyDescent="0.25">
      <c r="A235" s="21" t="s">
        <v>2559</v>
      </c>
      <c r="B235" s="16" t="s">
        <v>2560</v>
      </c>
      <c r="C235" s="17">
        <v>1</v>
      </c>
      <c r="D235" s="22">
        <v>31.5</v>
      </c>
      <c r="E235" s="22">
        <v>31.5</v>
      </c>
      <c r="F235" s="17" t="s">
        <v>1036</v>
      </c>
      <c r="G235" s="16" t="s">
        <v>85</v>
      </c>
      <c r="H235" s="21" t="s">
        <v>40</v>
      </c>
      <c r="I235" s="16" t="s">
        <v>11</v>
      </c>
      <c r="J235" s="16" t="s">
        <v>343</v>
      </c>
      <c r="K235" s="16" t="s">
        <v>354</v>
      </c>
      <c r="L235" s="16"/>
      <c r="M235" s="16"/>
      <c r="N235" s="23" t="str">
        <f>HYPERLINK("http://slimages.macys.com/is/image/MCY/19742994 ")</f>
        <v xml:space="preserve">http://slimages.macys.com/is/image/MCY/19742994 </v>
      </c>
    </row>
    <row r="236" spans="1:14" x14ac:dyDescent="0.25">
      <c r="A236" s="21" t="s">
        <v>2555</v>
      </c>
      <c r="B236" s="16" t="s">
        <v>2556</v>
      </c>
      <c r="C236" s="17">
        <v>1</v>
      </c>
      <c r="D236" s="22">
        <v>31.5</v>
      </c>
      <c r="E236" s="22">
        <v>31.5</v>
      </c>
      <c r="F236" s="17" t="s">
        <v>1036</v>
      </c>
      <c r="G236" s="16" t="s">
        <v>83</v>
      </c>
      <c r="H236" s="21" t="s">
        <v>32</v>
      </c>
      <c r="I236" s="16" t="s">
        <v>11</v>
      </c>
      <c r="J236" s="16" t="s">
        <v>343</v>
      </c>
      <c r="K236" s="16" t="s">
        <v>354</v>
      </c>
      <c r="L236" s="16"/>
      <c r="M236" s="16"/>
      <c r="N236" s="23" t="str">
        <f>HYPERLINK("http://slimages.macys.com/is/image/MCY/19742994 ")</f>
        <v xml:space="preserve">http://slimages.macys.com/is/image/MCY/19742994 </v>
      </c>
    </row>
    <row r="237" spans="1:14" x14ac:dyDescent="0.25">
      <c r="A237" s="21" t="s">
        <v>1694</v>
      </c>
      <c r="B237" s="16" t="s">
        <v>1758</v>
      </c>
      <c r="C237" s="17">
        <v>1</v>
      </c>
      <c r="D237" s="22">
        <v>31.5</v>
      </c>
      <c r="E237" s="22">
        <v>31.5</v>
      </c>
      <c r="F237" s="17" t="s">
        <v>1036</v>
      </c>
      <c r="G237" s="16" t="s">
        <v>83</v>
      </c>
      <c r="H237" s="21" t="s">
        <v>40</v>
      </c>
      <c r="I237" s="16" t="s">
        <v>11</v>
      </c>
      <c r="J237" s="16" t="s">
        <v>343</v>
      </c>
      <c r="K237" s="16" t="s">
        <v>354</v>
      </c>
      <c r="L237" s="16"/>
      <c r="M237" s="16"/>
      <c r="N237" s="23" t="str">
        <f>HYPERLINK("http://slimages.macys.com/is/image/MCY/19742994 ")</f>
        <v xml:space="preserve">http://slimages.macys.com/is/image/MCY/19742994 </v>
      </c>
    </row>
    <row r="238" spans="1:14" x14ac:dyDescent="0.25">
      <c r="A238" s="21" t="s">
        <v>2549</v>
      </c>
      <c r="B238" s="16" t="s">
        <v>2550</v>
      </c>
      <c r="C238" s="17">
        <v>1</v>
      </c>
      <c r="D238" s="22">
        <v>31.5</v>
      </c>
      <c r="E238" s="22">
        <v>31.5</v>
      </c>
      <c r="F238" s="17" t="s">
        <v>1036</v>
      </c>
      <c r="G238" s="16" t="s">
        <v>83</v>
      </c>
      <c r="H238" s="21" t="s">
        <v>27</v>
      </c>
      <c r="I238" s="16" t="s">
        <v>11</v>
      </c>
      <c r="J238" s="16" t="s">
        <v>343</v>
      </c>
      <c r="K238" s="16" t="s">
        <v>354</v>
      </c>
      <c r="L238" s="16"/>
      <c r="M238" s="16"/>
      <c r="N238" s="23" t="str">
        <f>HYPERLINK("http://slimages.macys.com/is/image/MCY/19742994 ")</f>
        <v xml:space="preserve">http://slimages.macys.com/is/image/MCY/19742994 </v>
      </c>
    </row>
    <row r="239" spans="1:14" x14ac:dyDescent="0.25">
      <c r="A239" s="21" t="s">
        <v>1037</v>
      </c>
      <c r="B239" s="16" t="s">
        <v>1038</v>
      </c>
      <c r="C239" s="17">
        <v>1</v>
      </c>
      <c r="D239" s="22">
        <v>31.5</v>
      </c>
      <c r="E239" s="22">
        <v>31.5</v>
      </c>
      <c r="F239" s="17" t="s">
        <v>387</v>
      </c>
      <c r="G239" s="16" t="s">
        <v>85</v>
      </c>
      <c r="H239" s="21" t="s">
        <v>32</v>
      </c>
      <c r="I239" s="16" t="s">
        <v>11</v>
      </c>
      <c r="J239" s="16" t="s">
        <v>343</v>
      </c>
      <c r="K239" s="16" t="s">
        <v>354</v>
      </c>
      <c r="L239" s="16"/>
      <c r="M239" s="16"/>
      <c r="N239" s="23" t="str">
        <f>HYPERLINK("http://slimages.macys.com/is/image/MCY/19743013 ")</f>
        <v xml:space="preserve">http://slimages.macys.com/is/image/MCY/19743013 </v>
      </c>
    </row>
    <row r="240" spans="1:14" x14ac:dyDescent="0.25">
      <c r="A240" s="21" t="s">
        <v>1696</v>
      </c>
      <c r="B240" s="16" t="s">
        <v>2563</v>
      </c>
      <c r="C240" s="17">
        <v>1</v>
      </c>
      <c r="D240" s="22">
        <v>31.5</v>
      </c>
      <c r="E240" s="22">
        <v>31.5</v>
      </c>
      <c r="F240" s="17" t="s">
        <v>387</v>
      </c>
      <c r="G240" s="16" t="s">
        <v>85</v>
      </c>
      <c r="H240" s="21" t="s">
        <v>55</v>
      </c>
      <c r="I240" s="16" t="s">
        <v>11</v>
      </c>
      <c r="J240" s="16" t="s">
        <v>343</v>
      </c>
      <c r="K240" s="16" t="s">
        <v>354</v>
      </c>
      <c r="L240" s="16"/>
      <c r="M240" s="16"/>
      <c r="N240" s="23" t="str">
        <f>HYPERLINK("http://slimages.macys.com/is/image/MCY/19743013 ")</f>
        <v xml:space="preserve">http://slimages.macys.com/is/image/MCY/19743013 </v>
      </c>
    </row>
    <row r="241" spans="1:14" x14ac:dyDescent="0.25">
      <c r="A241" s="21" t="s">
        <v>1041</v>
      </c>
      <c r="B241" s="16" t="s">
        <v>1042</v>
      </c>
      <c r="C241" s="17">
        <v>1</v>
      </c>
      <c r="D241" s="22">
        <v>31.5</v>
      </c>
      <c r="E241" s="22">
        <v>31.5</v>
      </c>
      <c r="F241" s="17" t="s">
        <v>387</v>
      </c>
      <c r="G241" s="16" t="s">
        <v>83</v>
      </c>
      <c r="H241" s="21" t="s">
        <v>32</v>
      </c>
      <c r="I241" s="16" t="s">
        <v>11</v>
      </c>
      <c r="J241" s="16" t="s">
        <v>343</v>
      </c>
      <c r="K241" s="16" t="s">
        <v>354</v>
      </c>
      <c r="L241" s="16"/>
      <c r="M241" s="16"/>
      <c r="N241" s="23" t="str">
        <f>HYPERLINK("http://slimages.macys.com/is/image/MCY/19743013 ")</f>
        <v xml:space="preserve">http://slimages.macys.com/is/image/MCY/19743013 </v>
      </c>
    </row>
    <row r="242" spans="1:14" x14ac:dyDescent="0.25">
      <c r="A242" s="21" t="s">
        <v>2564</v>
      </c>
      <c r="B242" s="16" t="s">
        <v>2565</v>
      </c>
      <c r="C242" s="17">
        <v>1</v>
      </c>
      <c r="D242" s="22">
        <v>31.5</v>
      </c>
      <c r="E242" s="22">
        <v>31.5</v>
      </c>
      <c r="F242" s="17" t="s">
        <v>387</v>
      </c>
      <c r="G242" s="16" t="s">
        <v>83</v>
      </c>
      <c r="H242" s="21" t="s">
        <v>40</v>
      </c>
      <c r="I242" s="16" t="s">
        <v>11</v>
      </c>
      <c r="J242" s="16" t="s">
        <v>343</v>
      </c>
      <c r="K242" s="16" t="s">
        <v>354</v>
      </c>
      <c r="L242" s="16"/>
      <c r="M242" s="16"/>
      <c r="N242" s="23" t="str">
        <f>HYPERLINK("http://slimages.macys.com/is/image/MCY/19743013 ")</f>
        <v xml:space="preserve">http://slimages.macys.com/is/image/MCY/19743013 </v>
      </c>
    </row>
    <row r="243" spans="1:14" x14ac:dyDescent="0.25">
      <c r="A243" s="21" t="s">
        <v>2521</v>
      </c>
      <c r="B243" s="16" t="s">
        <v>2522</v>
      </c>
      <c r="C243" s="17">
        <v>1</v>
      </c>
      <c r="D243" s="22">
        <v>48</v>
      </c>
      <c r="E243" s="22">
        <v>48</v>
      </c>
      <c r="F243" s="17">
        <v>900585</v>
      </c>
      <c r="G243" s="16" t="s">
        <v>349</v>
      </c>
      <c r="H243" s="21" t="s">
        <v>40</v>
      </c>
      <c r="I243" s="16" t="s">
        <v>11</v>
      </c>
      <c r="J243" s="16" t="s">
        <v>343</v>
      </c>
      <c r="K243" s="16" t="s">
        <v>354</v>
      </c>
      <c r="L243" s="16"/>
      <c r="M243" s="16"/>
      <c r="N243" s="23" t="str">
        <f>HYPERLINK("http://slimages.macys.com/is/image/MCY/18827242 ")</f>
        <v xml:space="preserve">http://slimages.macys.com/is/image/MCY/18827242 </v>
      </c>
    </row>
    <row r="244" spans="1:14" x14ac:dyDescent="0.25">
      <c r="A244" s="21" t="s">
        <v>2645</v>
      </c>
      <c r="B244" s="16" t="s">
        <v>2646</v>
      </c>
      <c r="C244" s="17">
        <v>1</v>
      </c>
      <c r="D244" s="22">
        <v>20</v>
      </c>
      <c r="E244" s="22">
        <v>20</v>
      </c>
      <c r="F244" s="17">
        <v>900582</v>
      </c>
      <c r="G244" s="16" t="s">
        <v>31</v>
      </c>
      <c r="H244" s="21" t="s">
        <v>27</v>
      </c>
      <c r="I244" s="16" t="s">
        <v>11</v>
      </c>
      <c r="J244" s="16" t="s">
        <v>343</v>
      </c>
      <c r="K244" s="16" t="s">
        <v>354</v>
      </c>
      <c r="L244" s="16"/>
      <c r="M244" s="16"/>
      <c r="N244" s="23" t="str">
        <f>HYPERLINK("http://slimages.macys.com/is/image/MCY/18827350 ")</f>
        <v xml:space="preserve">http://slimages.macys.com/is/image/MCY/18827350 </v>
      </c>
    </row>
    <row r="245" spans="1:14" x14ac:dyDescent="0.25">
      <c r="A245" s="21" t="s">
        <v>976</v>
      </c>
      <c r="B245" s="16" t="s">
        <v>977</v>
      </c>
      <c r="C245" s="17">
        <v>1</v>
      </c>
      <c r="D245" s="22">
        <v>54</v>
      </c>
      <c r="E245" s="22">
        <v>54</v>
      </c>
      <c r="F245" s="17" t="s">
        <v>239</v>
      </c>
      <c r="G245" s="16" t="s">
        <v>78</v>
      </c>
      <c r="H245" s="21" t="s">
        <v>40</v>
      </c>
      <c r="I245" s="16" t="s">
        <v>11</v>
      </c>
      <c r="J245" s="16" t="s">
        <v>240</v>
      </c>
      <c r="K245" s="16" t="s">
        <v>241</v>
      </c>
      <c r="L245" s="16"/>
      <c r="M245" s="16"/>
      <c r="N245" s="23" t="str">
        <f>HYPERLINK("http://slimages.macys.com/is/image/MCY/19909653 ")</f>
        <v xml:space="preserve">http://slimages.macys.com/is/image/MCY/19909653 </v>
      </c>
    </row>
    <row r="246" spans="1:14" x14ac:dyDescent="0.25">
      <c r="A246" s="21" t="s">
        <v>1734</v>
      </c>
      <c r="B246" s="16" t="s">
        <v>1735</v>
      </c>
      <c r="C246" s="17">
        <v>1</v>
      </c>
      <c r="D246" s="22">
        <v>54</v>
      </c>
      <c r="E246" s="22">
        <v>54</v>
      </c>
      <c r="F246" s="17" t="s">
        <v>239</v>
      </c>
      <c r="G246" s="16" t="s">
        <v>83</v>
      </c>
      <c r="H246" s="21" t="s">
        <v>55</v>
      </c>
      <c r="I246" s="16" t="s">
        <v>11</v>
      </c>
      <c r="J246" s="16" t="s">
        <v>240</v>
      </c>
      <c r="K246" s="16" t="s">
        <v>241</v>
      </c>
      <c r="L246" s="16"/>
      <c r="M246" s="16"/>
      <c r="N246" s="23" t="str">
        <f>HYPERLINK("http://slimages.macys.com/is/image/MCY/19909656 ")</f>
        <v xml:space="preserve">http://slimages.macys.com/is/image/MCY/19909656 </v>
      </c>
    </row>
    <row r="247" spans="1:14" x14ac:dyDescent="0.25">
      <c r="A247" s="21" t="s">
        <v>2302</v>
      </c>
      <c r="B247" s="16" t="s">
        <v>2303</v>
      </c>
      <c r="C247" s="17">
        <v>1</v>
      </c>
      <c r="D247" s="22">
        <v>54</v>
      </c>
      <c r="E247" s="22">
        <v>54</v>
      </c>
      <c r="F247" s="17" t="s">
        <v>2304</v>
      </c>
      <c r="G247" s="16" t="s">
        <v>82</v>
      </c>
      <c r="H247" s="21" t="s">
        <v>40</v>
      </c>
      <c r="I247" s="16" t="s">
        <v>11</v>
      </c>
      <c r="J247" s="16" t="s">
        <v>240</v>
      </c>
      <c r="K247" s="16" t="s">
        <v>241</v>
      </c>
      <c r="L247" s="16"/>
      <c r="M247" s="16"/>
      <c r="N247" s="23" t="str">
        <f>HYPERLINK("http://slimages.macys.com/is/image/MCY/19783895 ")</f>
        <v xml:space="preserve">http://slimages.macys.com/is/image/MCY/19783895 </v>
      </c>
    </row>
    <row r="248" spans="1:14" x14ac:dyDescent="0.25">
      <c r="A248" s="21" t="s">
        <v>2314</v>
      </c>
      <c r="B248" s="16" t="s">
        <v>2315</v>
      </c>
      <c r="C248" s="17">
        <v>1</v>
      </c>
      <c r="D248" s="22">
        <v>43</v>
      </c>
      <c r="E248" s="22">
        <v>43</v>
      </c>
      <c r="F248" s="17" t="s">
        <v>246</v>
      </c>
      <c r="G248" s="16" t="s">
        <v>31</v>
      </c>
      <c r="H248" s="21" t="s">
        <v>27</v>
      </c>
      <c r="I248" s="16" t="s">
        <v>11</v>
      </c>
      <c r="J248" s="16" t="s">
        <v>240</v>
      </c>
      <c r="K248" s="16" t="s">
        <v>241</v>
      </c>
      <c r="L248" s="16"/>
      <c r="M248" s="16"/>
      <c r="N248" s="23" t="str">
        <f>HYPERLINK("http://slimages.macys.com/is/image/MCY/18759106 ")</f>
        <v xml:space="preserve">http://slimages.macys.com/is/image/MCY/18759106 </v>
      </c>
    </row>
    <row r="249" spans="1:14" x14ac:dyDescent="0.25">
      <c r="A249" s="21" t="s">
        <v>2326</v>
      </c>
      <c r="B249" s="16" t="s">
        <v>2327</v>
      </c>
      <c r="C249" s="17">
        <v>1</v>
      </c>
      <c r="D249" s="22">
        <v>39</v>
      </c>
      <c r="E249" s="22">
        <v>39</v>
      </c>
      <c r="F249" s="17" t="s">
        <v>2328</v>
      </c>
      <c r="G249" s="16" t="s">
        <v>31</v>
      </c>
      <c r="H249" s="21" t="s">
        <v>27</v>
      </c>
      <c r="I249" s="16" t="s">
        <v>11</v>
      </c>
      <c r="J249" s="16" t="s">
        <v>240</v>
      </c>
      <c r="K249" s="16" t="s">
        <v>241</v>
      </c>
      <c r="L249" s="16"/>
      <c r="M249" s="16"/>
      <c r="N249" s="23" t="str">
        <f>HYPERLINK("http://slimages.macys.com/is/image/MCY/18503388 ")</f>
        <v xml:space="preserve">http://slimages.macys.com/is/image/MCY/18503388 </v>
      </c>
    </row>
    <row r="250" spans="1:14" x14ac:dyDescent="0.25">
      <c r="A250" s="21" t="s">
        <v>980</v>
      </c>
      <c r="B250" s="16" t="s">
        <v>981</v>
      </c>
      <c r="C250" s="17">
        <v>1</v>
      </c>
      <c r="D250" s="22">
        <v>40.5</v>
      </c>
      <c r="E250" s="22">
        <v>40.5</v>
      </c>
      <c r="F250" s="17" t="s">
        <v>248</v>
      </c>
      <c r="G250" s="16" t="s">
        <v>83</v>
      </c>
      <c r="H250" s="21" t="s">
        <v>55</v>
      </c>
      <c r="I250" s="16" t="s">
        <v>11</v>
      </c>
      <c r="J250" s="16" t="s">
        <v>240</v>
      </c>
      <c r="K250" s="16" t="s">
        <v>241</v>
      </c>
      <c r="L250" s="16"/>
      <c r="M250" s="16"/>
      <c r="N250" s="23" t="str">
        <f>HYPERLINK("http://slimages.macys.com/is/image/MCY/19600340 ")</f>
        <v xml:space="preserve">http://slimages.macys.com/is/image/MCY/19600340 </v>
      </c>
    </row>
    <row r="251" spans="1:14" x14ac:dyDescent="0.25">
      <c r="A251" s="21" t="s">
        <v>2321</v>
      </c>
      <c r="B251" s="16" t="s">
        <v>2322</v>
      </c>
      <c r="C251" s="17">
        <v>1</v>
      </c>
      <c r="D251" s="22">
        <v>40.5</v>
      </c>
      <c r="E251" s="22">
        <v>40.5</v>
      </c>
      <c r="F251" s="17" t="s">
        <v>248</v>
      </c>
      <c r="G251" s="16" t="s">
        <v>78</v>
      </c>
      <c r="H251" s="21" t="s">
        <v>55</v>
      </c>
      <c r="I251" s="16" t="s">
        <v>11</v>
      </c>
      <c r="J251" s="16" t="s">
        <v>240</v>
      </c>
      <c r="K251" s="16" t="s">
        <v>241</v>
      </c>
      <c r="L251" s="16"/>
      <c r="M251" s="16"/>
      <c r="N251" s="23" t="str">
        <f>HYPERLINK("http://slimages.macys.com/is/image/MCY/19600340 ")</f>
        <v xml:space="preserve">http://slimages.macys.com/is/image/MCY/19600340 </v>
      </c>
    </row>
    <row r="252" spans="1:14" x14ac:dyDescent="0.25">
      <c r="A252" s="21" t="s">
        <v>1183</v>
      </c>
      <c r="B252" s="16" t="s">
        <v>1184</v>
      </c>
      <c r="C252" s="17">
        <v>1</v>
      </c>
      <c r="D252" s="22">
        <v>54</v>
      </c>
      <c r="E252" s="22">
        <v>54</v>
      </c>
      <c r="F252" s="17" t="s">
        <v>978</v>
      </c>
      <c r="G252" s="16" t="s">
        <v>107</v>
      </c>
      <c r="H252" s="21" t="s">
        <v>55</v>
      </c>
      <c r="I252" s="16" t="s">
        <v>11</v>
      </c>
      <c r="J252" s="16" t="s">
        <v>240</v>
      </c>
      <c r="K252" s="16" t="s">
        <v>241</v>
      </c>
      <c r="L252" s="16"/>
      <c r="M252" s="16"/>
      <c r="N252" s="23" t="str">
        <f>HYPERLINK("http://slimages.macys.com/is/image/MCY/19903944 ")</f>
        <v xml:space="preserve">http://slimages.macys.com/is/image/MCY/19903944 </v>
      </c>
    </row>
    <row r="253" spans="1:14" x14ac:dyDescent="0.25">
      <c r="A253" s="21" t="s">
        <v>2334</v>
      </c>
      <c r="B253" s="16" t="s">
        <v>2335</v>
      </c>
      <c r="C253" s="17">
        <v>1</v>
      </c>
      <c r="D253" s="22">
        <v>26.11</v>
      </c>
      <c r="E253" s="22">
        <v>26.11</v>
      </c>
      <c r="F253" s="17" t="s">
        <v>2336</v>
      </c>
      <c r="G253" s="16" t="s">
        <v>62</v>
      </c>
      <c r="H253" s="21" t="s">
        <v>55</v>
      </c>
      <c r="I253" s="16" t="s">
        <v>11</v>
      </c>
      <c r="J253" s="16" t="s">
        <v>240</v>
      </c>
      <c r="K253" s="16" t="s">
        <v>241</v>
      </c>
      <c r="L253" s="16"/>
      <c r="M253" s="16"/>
      <c r="N253" s="23" t="str">
        <f>HYPERLINK("http://slimages.macys.com/is/image/MCY/18782199 ")</f>
        <v xml:space="preserve">http://slimages.macys.com/is/image/MCY/18782199 </v>
      </c>
    </row>
    <row r="254" spans="1:14" x14ac:dyDescent="0.25">
      <c r="A254" s="21" t="s">
        <v>1176</v>
      </c>
      <c r="B254" s="16" t="s">
        <v>1177</v>
      </c>
      <c r="C254" s="17">
        <v>1</v>
      </c>
      <c r="D254" s="22">
        <v>58.5</v>
      </c>
      <c r="E254" s="22">
        <v>58.5</v>
      </c>
      <c r="F254" s="17" t="s">
        <v>973</v>
      </c>
      <c r="G254" s="16" t="s">
        <v>124</v>
      </c>
      <c r="H254" s="21" t="s">
        <v>40</v>
      </c>
      <c r="I254" s="16" t="s">
        <v>11</v>
      </c>
      <c r="J254" s="16" t="s">
        <v>240</v>
      </c>
      <c r="K254" s="16" t="s">
        <v>241</v>
      </c>
      <c r="L254" s="16"/>
      <c r="M254" s="16"/>
      <c r="N254" s="23" t="str">
        <f>HYPERLINK("http://slimages.macys.com/is/image/MCY/19909625 ")</f>
        <v xml:space="preserve">http://slimages.macys.com/is/image/MCY/19909625 </v>
      </c>
    </row>
    <row r="255" spans="1:14" x14ac:dyDescent="0.25">
      <c r="A255" s="21" t="s">
        <v>1174</v>
      </c>
      <c r="B255" s="16" t="s">
        <v>1175</v>
      </c>
      <c r="C255" s="17">
        <v>1</v>
      </c>
      <c r="D255" s="22">
        <v>58.5</v>
      </c>
      <c r="E255" s="22">
        <v>58.5</v>
      </c>
      <c r="F255" s="17" t="s">
        <v>973</v>
      </c>
      <c r="G255" s="16" t="s">
        <v>124</v>
      </c>
      <c r="H255" s="21" t="s">
        <v>55</v>
      </c>
      <c r="I255" s="16" t="s">
        <v>11</v>
      </c>
      <c r="J255" s="16" t="s">
        <v>240</v>
      </c>
      <c r="K255" s="16" t="s">
        <v>241</v>
      </c>
      <c r="L255" s="16"/>
      <c r="M255" s="16"/>
      <c r="N255" s="23" t="str">
        <f>HYPERLINK("http://slimages.macys.com/is/image/MCY/19909631 ")</f>
        <v xml:space="preserve">http://slimages.macys.com/is/image/MCY/19909631 </v>
      </c>
    </row>
    <row r="256" spans="1:14" x14ac:dyDescent="0.25">
      <c r="A256" s="21" t="s">
        <v>2297</v>
      </c>
      <c r="B256" s="16" t="s">
        <v>2298</v>
      </c>
      <c r="C256" s="17">
        <v>1</v>
      </c>
      <c r="D256" s="22">
        <v>58.5</v>
      </c>
      <c r="E256" s="22">
        <v>58.5</v>
      </c>
      <c r="F256" s="17" t="s">
        <v>973</v>
      </c>
      <c r="G256" s="16" t="s">
        <v>124</v>
      </c>
      <c r="H256" s="21" t="s">
        <v>27</v>
      </c>
      <c r="I256" s="16" t="s">
        <v>11</v>
      </c>
      <c r="J256" s="16" t="s">
        <v>240</v>
      </c>
      <c r="K256" s="16" t="s">
        <v>241</v>
      </c>
      <c r="L256" s="16"/>
      <c r="M256" s="16"/>
      <c r="N256" s="23" t="str">
        <f>HYPERLINK("http://slimages.macys.com/is/image/MCY/19909628 ")</f>
        <v xml:space="preserve">http://slimages.macys.com/is/image/MCY/19909628 </v>
      </c>
    </row>
    <row r="257" spans="1:14" x14ac:dyDescent="0.25">
      <c r="A257" s="21" t="s">
        <v>1180</v>
      </c>
      <c r="B257" s="16" t="s">
        <v>1181</v>
      </c>
      <c r="C257" s="17">
        <v>1</v>
      </c>
      <c r="D257" s="22">
        <v>58.5</v>
      </c>
      <c r="E257" s="22">
        <v>58.5</v>
      </c>
      <c r="F257" s="17" t="s">
        <v>973</v>
      </c>
      <c r="G257" s="16" t="s">
        <v>107</v>
      </c>
      <c r="H257" s="21" t="s">
        <v>32</v>
      </c>
      <c r="I257" s="16" t="s">
        <v>11</v>
      </c>
      <c r="J257" s="16" t="s">
        <v>240</v>
      </c>
      <c r="K257" s="16" t="s">
        <v>241</v>
      </c>
      <c r="L257" s="16"/>
      <c r="M257" s="16"/>
      <c r="N257" s="23" t="str">
        <f>HYPERLINK("http://slimages.macys.com/is/image/MCY/19909631 ")</f>
        <v xml:space="preserve">http://slimages.macys.com/is/image/MCY/19909631 </v>
      </c>
    </row>
    <row r="258" spans="1:14" x14ac:dyDescent="0.25">
      <c r="A258" s="21" t="s">
        <v>2295</v>
      </c>
      <c r="B258" s="16" t="s">
        <v>2296</v>
      </c>
      <c r="C258" s="17">
        <v>1</v>
      </c>
      <c r="D258" s="22">
        <v>58.5</v>
      </c>
      <c r="E258" s="22">
        <v>58.5</v>
      </c>
      <c r="F258" s="17" t="s">
        <v>973</v>
      </c>
      <c r="G258" s="16" t="s">
        <v>107</v>
      </c>
      <c r="H258" s="21" t="s">
        <v>40</v>
      </c>
      <c r="I258" s="16" t="s">
        <v>11</v>
      </c>
      <c r="J258" s="16" t="s">
        <v>240</v>
      </c>
      <c r="K258" s="16" t="s">
        <v>241</v>
      </c>
      <c r="L258" s="16"/>
      <c r="M258" s="16"/>
      <c r="N258" s="23" t="str">
        <f>HYPERLINK("http://slimages.macys.com/is/image/MCY/19909625 ")</f>
        <v xml:space="preserve">http://slimages.macys.com/is/image/MCY/19909625 </v>
      </c>
    </row>
    <row r="259" spans="1:14" x14ac:dyDescent="0.25">
      <c r="A259" s="21" t="s">
        <v>2323</v>
      </c>
      <c r="B259" s="16" t="s">
        <v>2324</v>
      </c>
      <c r="C259" s="17">
        <v>1</v>
      </c>
      <c r="D259" s="22">
        <v>51</v>
      </c>
      <c r="E259" s="22">
        <v>51</v>
      </c>
      <c r="F259" s="17" t="s">
        <v>2325</v>
      </c>
      <c r="G259" s="16" t="s">
        <v>82</v>
      </c>
      <c r="H259" s="21" t="s">
        <v>40</v>
      </c>
      <c r="I259" s="16" t="s">
        <v>11</v>
      </c>
      <c r="J259" s="16" t="s">
        <v>240</v>
      </c>
      <c r="K259" s="16" t="s">
        <v>241</v>
      </c>
      <c r="L259" s="16"/>
      <c r="M259" s="16"/>
      <c r="N259" s="23" t="str">
        <f>HYPERLINK("http://slimages.macys.com/is/image/MCY/18782298 ")</f>
        <v xml:space="preserve">http://slimages.macys.com/is/image/MCY/18782298 </v>
      </c>
    </row>
    <row r="260" spans="1:14" x14ac:dyDescent="0.25">
      <c r="A260" s="21" t="s">
        <v>2318</v>
      </c>
      <c r="B260" s="16" t="s">
        <v>2319</v>
      </c>
      <c r="C260" s="17">
        <v>1</v>
      </c>
      <c r="D260" s="22">
        <v>40.5</v>
      </c>
      <c r="E260" s="22">
        <v>40.5</v>
      </c>
      <c r="F260" s="17" t="s">
        <v>2320</v>
      </c>
      <c r="G260" s="16" t="s">
        <v>83</v>
      </c>
      <c r="H260" s="21" t="s">
        <v>149</v>
      </c>
      <c r="I260" s="16" t="s">
        <v>11</v>
      </c>
      <c r="J260" s="16" t="s">
        <v>240</v>
      </c>
      <c r="K260" s="16" t="s">
        <v>241</v>
      </c>
      <c r="L260" s="16"/>
      <c r="M260" s="16"/>
      <c r="N260" s="23" t="str">
        <f>HYPERLINK("http://slimages.macys.com/is/image/MCY/19741916 ")</f>
        <v xml:space="preserve">http://slimages.macys.com/is/image/MCY/19741916 </v>
      </c>
    </row>
    <row r="261" spans="1:14" x14ac:dyDescent="0.25">
      <c r="A261" s="21" t="s">
        <v>2305</v>
      </c>
      <c r="B261" s="16" t="s">
        <v>2306</v>
      </c>
      <c r="C261" s="17">
        <v>1</v>
      </c>
      <c r="D261" s="22">
        <v>51</v>
      </c>
      <c r="E261" s="22">
        <v>51</v>
      </c>
      <c r="F261" s="17" t="s">
        <v>1189</v>
      </c>
      <c r="G261" s="16" t="s">
        <v>31</v>
      </c>
      <c r="H261" s="21" t="s">
        <v>55</v>
      </c>
      <c r="I261" s="16" t="s">
        <v>11</v>
      </c>
      <c r="J261" s="16" t="s">
        <v>240</v>
      </c>
      <c r="K261" s="16" t="s">
        <v>241</v>
      </c>
      <c r="L261" s="16"/>
      <c r="M261" s="16"/>
      <c r="N261" s="23" t="str">
        <f>HYPERLINK("http://slimages.macys.com/is/image/MCY/19783793 ")</f>
        <v xml:space="preserve">http://slimages.macys.com/is/image/MCY/19783793 </v>
      </c>
    </row>
    <row r="262" spans="1:14" x14ac:dyDescent="0.25">
      <c r="A262" s="21" t="s">
        <v>2307</v>
      </c>
      <c r="B262" s="16" t="s">
        <v>2308</v>
      </c>
      <c r="C262" s="17">
        <v>1</v>
      </c>
      <c r="D262" s="22">
        <v>26.11</v>
      </c>
      <c r="E262" s="22">
        <v>26.11</v>
      </c>
      <c r="F262" s="17" t="s">
        <v>1189</v>
      </c>
      <c r="G262" s="16" t="s">
        <v>83</v>
      </c>
      <c r="H262" s="21" t="s">
        <v>32</v>
      </c>
      <c r="I262" s="16" t="s">
        <v>11</v>
      </c>
      <c r="J262" s="16" t="s">
        <v>240</v>
      </c>
      <c r="K262" s="16" t="s">
        <v>241</v>
      </c>
      <c r="L262" s="16"/>
      <c r="M262" s="16"/>
      <c r="N262" s="23" t="str">
        <f>HYPERLINK("http://slimages.macys.com/is/image/MCY/19783793 ")</f>
        <v xml:space="preserve">http://slimages.macys.com/is/image/MCY/19783793 </v>
      </c>
    </row>
    <row r="263" spans="1:14" x14ac:dyDescent="0.25">
      <c r="A263" s="21" t="s">
        <v>2143</v>
      </c>
      <c r="B263" s="16" t="s">
        <v>2144</v>
      </c>
      <c r="C263" s="17">
        <v>1</v>
      </c>
      <c r="D263" s="22">
        <v>9.99</v>
      </c>
      <c r="E263" s="22">
        <v>9.99</v>
      </c>
      <c r="F263" s="17" t="s">
        <v>2145</v>
      </c>
      <c r="G263" s="16" t="s">
        <v>122</v>
      </c>
      <c r="H263" s="21"/>
      <c r="I263" s="16" t="s">
        <v>11</v>
      </c>
      <c r="J263" s="16" t="s">
        <v>109</v>
      </c>
      <c r="K263" s="16" t="s">
        <v>2146</v>
      </c>
      <c r="L263" s="16" t="s">
        <v>111</v>
      </c>
      <c r="M263" s="16" t="s">
        <v>113</v>
      </c>
      <c r="N263" s="23" t="str">
        <f>HYPERLINK("http://slimages.macys.com/is/image/MCY/10983142 ")</f>
        <v xml:space="preserve">http://slimages.macys.com/is/image/MCY/10983142 </v>
      </c>
    </row>
    <row r="264" spans="1:14" x14ac:dyDescent="0.25">
      <c r="A264" s="21" t="s">
        <v>2584</v>
      </c>
      <c r="B264" s="16" t="s">
        <v>2585</v>
      </c>
      <c r="C264" s="17">
        <v>1</v>
      </c>
      <c r="D264" s="22">
        <v>27</v>
      </c>
      <c r="E264" s="22">
        <v>27</v>
      </c>
      <c r="F264" s="17" t="s">
        <v>2586</v>
      </c>
      <c r="G264" s="16" t="s">
        <v>102</v>
      </c>
      <c r="H264" s="21" t="s">
        <v>32</v>
      </c>
      <c r="I264" s="16" t="s">
        <v>11</v>
      </c>
      <c r="J264" s="16" t="s">
        <v>343</v>
      </c>
      <c r="K264" s="16" t="s">
        <v>393</v>
      </c>
      <c r="L264" s="16"/>
      <c r="M264" s="16"/>
      <c r="N264" s="23" t="str">
        <f>HYPERLINK("http://slimages.macys.com/is/image/MCY/19496613 ")</f>
        <v xml:space="preserve">http://slimages.macys.com/is/image/MCY/19496613 </v>
      </c>
    </row>
    <row r="265" spans="1:14" x14ac:dyDescent="0.25">
      <c r="A265" s="21" t="s">
        <v>2551</v>
      </c>
      <c r="B265" s="16" t="s">
        <v>2552</v>
      </c>
      <c r="C265" s="17">
        <v>1</v>
      </c>
      <c r="D265" s="22">
        <v>38.4</v>
      </c>
      <c r="E265" s="22">
        <v>38.4</v>
      </c>
      <c r="F265" s="17" t="s">
        <v>2553</v>
      </c>
      <c r="G265" s="16" t="s">
        <v>82</v>
      </c>
      <c r="H265" s="21" t="s">
        <v>32</v>
      </c>
      <c r="I265" s="16" t="s">
        <v>11</v>
      </c>
      <c r="J265" s="16" t="s">
        <v>343</v>
      </c>
      <c r="K265" s="16" t="s">
        <v>393</v>
      </c>
      <c r="L265" s="16"/>
      <c r="M265" s="16"/>
      <c r="N265" s="23" t="str">
        <f>HYPERLINK("http://slimages.macys.com/is/image/MCY/18995130 ")</f>
        <v xml:space="preserve">http://slimages.macys.com/is/image/MCY/18995130 </v>
      </c>
    </row>
    <row r="266" spans="1:14" x14ac:dyDescent="0.25">
      <c r="A266" s="21" t="s">
        <v>1685</v>
      </c>
      <c r="B266" s="16" t="s">
        <v>2490</v>
      </c>
      <c r="C266" s="17">
        <v>1</v>
      </c>
      <c r="D266" s="22">
        <v>51</v>
      </c>
      <c r="E266" s="22">
        <v>51</v>
      </c>
      <c r="F266" s="17">
        <v>31915</v>
      </c>
      <c r="G266" s="16" t="s">
        <v>168</v>
      </c>
      <c r="H266" s="21" t="s">
        <v>32</v>
      </c>
      <c r="I266" s="16" t="s">
        <v>11</v>
      </c>
      <c r="J266" s="16" t="s">
        <v>343</v>
      </c>
      <c r="K266" s="16" t="s">
        <v>347</v>
      </c>
      <c r="L266" s="16"/>
      <c r="M266" s="16"/>
      <c r="N266" s="23" t="str">
        <f>HYPERLINK("http://slimages.macys.com/is/image/MCY/19962862 ")</f>
        <v xml:space="preserve">http://slimages.macys.com/is/image/MCY/19962862 </v>
      </c>
    </row>
    <row r="267" spans="1:14" x14ac:dyDescent="0.25">
      <c r="A267" s="21" t="s">
        <v>2491</v>
      </c>
      <c r="B267" s="16" t="s">
        <v>2492</v>
      </c>
      <c r="C267" s="17">
        <v>1</v>
      </c>
      <c r="D267" s="22">
        <v>45</v>
      </c>
      <c r="E267" s="22">
        <v>45</v>
      </c>
      <c r="F267" s="17">
        <v>31954</v>
      </c>
      <c r="G267" s="16" t="s">
        <v>37</v>
      </c>
      <c r="H267" s="21" t="s">
        <v>55</v>
      </c>
      <c r="I267" s="16" t="s">
        <v>11</v>
      </c>
      <c r="J267" s="16" t="s">
        <v>343</v>
      </c>
      <c r="K267" s="16" t="s">
        <v>347</v>
      </c>
      <c r="L267" s="16"/>
      <c r="M267" s="16"/>
      <c r="N267" s="23" t="str">
        <f>HYPERLINK("http://slimages.macys.com/is/image/MCY/19962757 ")</f>
        <v xml:space="preserve">http://slimages.macys.com/is/image/MCY/19962757 </v>
      </c>
    </row>
    <row r="268" spans="1:14" x14ac:dyDescent="0.25">
      <c r="A268" s="21" t="s">
        <v>2493</v>
      </c>
      <c r="B268" s="16" t="s">
        <v>2494</v>
      </c>
      <c r="C268" s="17">
        <v>1</v>
      </c>
      <c r="D268" s="22">
        <v>48</v>
      </c>
      <c r="E268" s="22">
        <v>48</v>
      </c>
      <c r="F268" s="17">
        <v>21982</v>
      </c>
      <c r="G268" s="16" t="s">
        <v>168</v>
      </c>
      <c r="H268" s="21" t="s">
        <v>32</v>
      </c>
      <c r="I268" s="16" t="s">
        <v>11</v>
      </c>
      <c r="J268" s="16" t="s">
        <v>343</v>
      </c>
      <c r="K268" s="16" t="s">
        <v>347</v>
      </c>
      <c r="L268" s="16"/>
      <c r="M268" s="16"/>
      <c r="N268" s="23" t="str">
        <f>HYPERLINK("http://slimages.macys.com/is/image/MCY/18292425 ")</f>
        <v xml:space="preserve">http://slimages.macys.com/is/image/MCY/18292425 </v>
      </c>
    </row>
    <row r="269" spans="1:14" x14ac:dyDescent="0.25">
      <c r="A269" s="21" t="s">
        <v>2597</v>
      </c>
      <c r="B269" s="16" t="s">
        <v>2598</v>
      </c>
      <c r="C269" s="17">
        <v>1</v>
      </c>
      <c r="D269" s="22">
        <v>28.99</v>
      </c>
      <c r="E269" s="22">
        <v>28.99</v>
      </c>
      <c r="F269" s="17" t="s">
        <v>1288</v>
      </c>
      <c r="G269" s="16" t="s">
        <v>137</v>
      </c>
      <c r="H269" s="21" t="s">
        <v>27</v>
      </c>
      <c r="I269" s="16" t="s">
        <v>11</v>
      </c>
      <c r="J269" s="16" t="s">
        <v>343</v>
      </c>
      <c r="K269" s="16" t="s">
        <v>372</v>
      </c>
      <c r="L269" s="16"/>
      <c r="M269" s="16"/>
      <c r="N269" s="23" t="str">
        <f>HYPERLINK("http://slimages.macys.com/is/image/MCY/19907141 ")</f>
        <v xml:space="preserve">http://slimages.macys.com/is/image/MCY/19907141 </v>
      </c>
    </row>
    <row r="270" spans="1:14" x14ac:dyDescent="0.25">
      <c r="A270" s="21" t="s">
        <v>2634</v>
      </c>
      <c r="B270" s="16" t="s">
        <v>2635</v>
      </c>
      <c r="C270" s="17">
        <v>1</v>
      </c>
      <c r="D270" s="22">
        <v>24.99</v>
      </c>
      <c r="E270" s="22">
        <v>24.99</v>
      </c>
      <c r="F270" s="17" t="s">
        <v>2633</v>
      </c>
      <c r="G270" s="16" t="s">
        <v>214</v>
      </c>
      <c r="H270" s="21" t="s">
        <v>40</v>
      </c>
      <c r="I270" s="16" t="s">
        <v>11</v>
      </c>
      <c r="J270" s="16" t="s">
        <v>343</v>
      </c>
      <c r="K270" s="16" t="s">
        <v>372</v>
      </c>
      <c r="L270" s="16"/>
      <c r="M270" s="16"/>
      <c r="N270" s="23" t="str">
        <f>HYPERLINK("http://slimages.macys.com/is/image/MCY/19579566 ")</f>
        <v xml:space="preserve">http://slimages.macys.com/is/image/MCY/19579566 </v>
      </c>
    </row>
    <row r="271" spans="1:14" x14ac:dyDescent="0.25">
      <c r="A271" s="21" t="s">
        <v>2631</v>
      </c>
      <c r="B271" s="16" t="s">
        <v>2632</v>
      </c>
      <c r="C271" s="17">
        <v>1</v>
      </c>
      <c r="D271" s="22">
        <v>24.99</v>
      </c>
      <c r="E271" s="22">
        <v>24.99</v>
      </c>
      <c r="F271" s="17" t="s">
        <v>2633</v>
      </c>
      <c r="G271" s="16" t="s">
        <v>214</v>
      </c>
      <c r="H271" s="21" t="s">
        <v>55</v>
      </c>
      <c r="I271" s="16" t="s">
        <v>11</v>
      </c>
      <c r="J271" s="16" t="s">
        <v>343</v>
      </c>
      <c r="K271" s="16" t="s">
        <v>372</v>
      </c>
      <c r="L271" s="16"/>
      <c r="M271" s="16"/>
      <c r="N271" s="23" t="str">
        <f>HYPERLINK("http://slimages.macys.com/is/image/MCY/19579566 ")</f>
        <v xml:space="preserve">http://slimages.macys.com/is/image/MCY/19579566 </v>
      </c>
    </row>
    <row r="272" spans="1:14" x14ac:dyDescent="0.25">
      <c r="A272" s="21" t="s">
        <v>2525</v>
      </c>
      <c r="B272" s="16" t="s">
        <v>2526</v>
      </c>
      <c r="C272" s="17">
        <v>1</v>
      </c>
      <c r="D272" s="22">
        <v>32.99</v>
      </c>
      <c r="E272" s="22">
        <v>32.99</v>
      </c>
      <c r="F272" s="17" t="s">
        <v>371</v>
      </c>
      <c r="G272" s="16" t="s">
        <v>102</v>
      </c>
      <c r="H272" s="21" t="s">
        <v>32</v>
      </c>
      <c r="I272" s="16" t="s">
        <v>11</v>
      </c>
      <c r="J272" s="16" t="s">
        <v>343</v>
      </c>
      <c r="K272" s="16" t="s">
        <v>372</v>
      </c>
      <c r="L272" s="16"/>
      <c r="M272" s="16"/>
      <c r="N272" s="23" t="str">
        <f>HYPERLINK("http://slimages.macys.com/is/image/MCY/19772964 ")</f>
        <v xml:space="preserve">http://slimages.macys.com/is/image/MCY/19772964 </v>
      </c>
    </row>
    <row r="273" spans="1:14" x14ac:dyDescent="0.25">
      <c r="A273" s="21" t="s">
        <v>2348</v>
      </c>
      <c r="B273" s="16" t="s">
        <v>2349</v>
      </c>
      <c r="C273" s="17">
        <v>1</v>
      </c>
      <c r="D273" s="22">
        <v>34.99</v>
      </c>
      <c r="E273" s="22">
        <v>34.99</v>
      </c>
      <c r="F273" s="17" t="s">
        <v>2350</v>
      </c>
      <c r="G273" s="16" t="s">
        <v>122</v>
      </c>
      <c r="H273" s="21" t="s">
        <v>40</v>
      </c>
      <c r="I273" s="16" t="s">
        <v>11</v>
      </c>
      <c r="J273" s="16" t="s">
        <v>263</v>
      </c>
      <c r="K273" s="16" t="s">
        <v>264</v>
      </c>
      <c r="L273" s="16"/>
      <c r="M273" s="16"/>
      <c r="N273" s="23" t="str">
        <f>HYPERLINK("http://slimages.macys.com/is/image/MCY/18999663 ")</f>
        <v xml:space="preserve">http://slimages.macys.com/is/image/MCY/18999663 </v>
      </c>
    </row>
    <row r="274" spans="1:14" x14ac:dyDescent="0.25">
      <c r="A274" s="21" t="s">
        <v>731</v>
      </c>
      <c r="B274" s="16" t="s">
        <v>732</v>
      </c>
      <c r="C274" s="17">
        <v>1</v>
      </c>
      <c r="D274" s="22">
        <v>39.99</v>
      </c>
      <c r="E274" s="22">
        <v>39.99</v>
      </c>
      <c r="F274" s="17" t="s">
        <v>733</v>
      </c>
      <c r="G274" s="16" t="s">
        <v>205</v>
      </c>
      <c r="H274" s="21" t="s">
        <v>47</v>
      </c>
      <c r="I274" s="16" t="s">
        <v>11</v>
      </c>
      <c r="J274" s="16" t="s">
        <v>263</v>
      </c>
      <c r="K274" s="16" t="s">
        <v>264</v>
      </c>
      <c r="L274" s="16" t="s">
        <v>111</v>
      </c>
      <c r="M274" s="16" t="s">
        <v>734</v>
      </c>
      <c r="N274" s="23" t="str">
        <f>HYPERLINK("http://slimages.macys.com/is/image/MCY/19222683 ")</f>
        <v xml:space="preserve">http://slimages.macys.com/is/image/MCY/19222683 </v>
      </c>
    </row>
    <row r="275" spans="1:14" x14ac:dyDescent="0.25">
      <c r="A275" s="21" t="s">
        <v>728</v>
      </c>
      <c r="B275" s="16" t="s">
        <v>729</v>
      </c>
      <c r="C275" s="17">
        <v>2</v>
      </c>
      <c r="D275" s="22">
        <v>42.99</v>
      </c>
      <c r="E275" s="22">
        <v>85.98</v>
      </c>
      <c r="F275" s="17" t="s">
        <v>727</v>
      </c>
      <c r="G275" s="16" t="s">
        <v>104</v>
      </c>
      <c r="H275" s="21" t="s">
        <v>55</v>
      </c>
      <c r="I275" s="16" t="s">
        <v>11</v>
      </c>
      <c r="J275" s="16" t="s">
        <v>263</v>
      </c>
      <c r="K275" s="16" t="s">
        <v>264</v>
      </c>
      <c r="L275" s="16"/>
      <c r="M275" s="16"/>
      <c r="N275" s="23" t="str">
        <f>HYPERLINK("http://slimages.macys.com/is/image/MCY/19713015 ")</f>
        <v xml:space="preserve">http://slimages.macys.com/is/image/MCY/19713015 </v>
      </c>
    </row>
    <row r="276" spans="1:14" x14ac:dyDescent="0.25">
      <c r="A276" s="21" t="s">
        <v>2344</v>
      </c>
      <c r="B276" s="16" t="s">
        <v>2345</v>
      </c>
      <c r="C276" s="17">
        <v>1</v>
      </c>
      <c r="D276" s="22">
        <v>39.99</v>
      </c>
      <c r="E276" s="22">
        <v>39.99</v>
      </c>
      <c r="F276" s="17" t="s">
        <v>1679</v>
      </c>
      <c r="G276" s="16" t="s">
        <v>189</v>
      </c>
      <c r="H276" s="21" t="s">
        <v>47</v>
      </c>
      <c r="I276" s="16" t="s">
        <v>11</v>
      </c>
      <c r="J276" s="16" t="s">
        <v>263</v>
      </c>
      <c r="K276" s="16" t="s">
        <v>264</v>
      </c>
      <c r="L276" s="16"/>
      <c r="M276" s="16"/>
      <c r="N276" s="23" t="str">
        <f>HYPERLINK("http://slimages.macys.com/is/image/MCY/18445431 ")</f>
        <v xml:space="preserve">http://slimages.macys.com/is/image/MCY/18445431 </v>
      </c>
    </row>
    <row r="277" spans="1:14" x14ac:dyDescent="0.25">
      <c r="A277" s="21" t="s">
        <v>2346</v>
      </c>
      <c r="B277" s="16" t="s">
        <v>2347</v>
      </c>
      <c r="C277" s="17">
        <v>1</v>
      </c>
      <c r="D277" s="22">
        <v>39.99</v>
      </c>
      <c r="E277" s="22">
        <v>39.99</v>
      </c>
      <c r="F277" s="17" t="s">
        <v>1679</v>
      </c>
      <c r="G277" s="16" t="s">
        <v>205</v>
      </c>
      <c r="H277" s="21" t="s">
        <v>32</v>
      </c>
      <c r="I277" s="16" t="s">
        <v>11</v>
      </c>
      <c r="J277" s="16" t="s">
        <v>263</v>
      </c>
      <c r="K277" s="16" t="s">
        <v>264</v>
      </c>
      <c r="L277" s="16"/>
      <c r="M277" s="16"/>
      <c r="N277" s="23" t="str">
        <f>HYPERLINK("http://slimages.macys.com/is/image/MCY/11190602 ")</f>
        <v xml:space="preserve">http://slimages.macys.com/is/image/MCY/11190602 </v>
      </c>
    </row>
    <row r="278" spans="1:14" x14ac:dyDescent="0.25">
      <c r="A278" s="21" t="s">
        <v>1361</v>
      </c>
      <c r="B278" s="16" t="s">
        <v>1362</v>
      </c>
      <c r="C278" s="17">
        <v>2</v>
      </c>
      <c r="D278" s="22">
        <v>40</v>
      </c>
      <c r="E278" s="22">
        <v>80</v>
      </c>
      <c r="F278" s="17">
        <v>100082360</v>
      </c>
      <c r="G278" s="16" t="s">
        <v>82</v>
      </c>
      <c r="H278" s="21" t="s">
        <v>32</v>
      </c>
      <c r="I278" s="16" t="s">
        <v>11</v>
      </c>
      <c r="J278" s="16" t="s">
        <v>427</v>
      </c>
      <c r="K278" s="16" t="s">
        <v>428</v>
      </c>
      <c r="L278" s="16"/>
      <c r="M278" s="16"/>
      <c r="N278" s="23" t="str">
        <f>HYPERLINK("http://slimages.macys.com/is/image/MCY/16795242 ")</f>
        <v xml:space="preserve">http://slimages.macys.com/is/image/MCY/16795242 </v>
      </c>
    </row>
    <row r="279" spans="1:14" x14ac:dyDescent="0.25">
      <c r="A279" s="21" t="s">
        <v>2665</v>
      </c>
      <c r="B279" s="16" t="s">
        <v>2666</v>
      </c>
      <c r="C279" s="17">
        <v>1</v>
      </c>
      <c r="D279" s="22">
        <v>32</v>
      </c>
      <c r="E279" s="22">
        <v>32</v>
      </c>
      <c r="F279" s="17">
        <v>100106490</v>
      </c>
      <c r="G279" s="16" t="s">
        <v>57</v>
      </c>
      <c r="H279" s="21" t="s">
        <v>87</v>
      </c>
      <c r="I279" s="16" t="s">
        <v>11</v>
      </c>
      <c r="J279" s="16" t="s">
        <v>427</v>
      </c>
      <c r="K279" s="16" t="s">
        <v>428</v>
      </c>
      <c r="L279" s="16"/>
      <c r="M279" s="16"/>
      <c r="N279" s="23" t="str">
        <f>HYPERLINK("http://slimages.macys.com/is/image/MCY/17534313 ")</f>
        <v xml:space="preserve">http://slimages.macys.com/is/image/MCY/17534313 </v>
      </c>
    </row>
    <row r="280" spans="1:14" x14ac:dyDescent="0.25">
      <c r="A280" s="21" t="s">
        <v>1363</v>
      </c>
      <c r="B280" s="16" t="s">
        <v>1364</v>
      </c>
      <c r="C280" s="17">
        <v>5</v>
      </c>
      <c r="D280" s="22">
        <v>32</v>
      </c>
      <c r="E280" s="22">
        <v>160</v>
      </c>
      <c r="F280" s="17">
        <v>100077742</v>
      </c>
      <c r="G280" s="16" t="s">
        <v>205</v>
      </c>
      <c r="H280" s="21" t="s">
        <v>40</v>
      </c>
      <c r="I280" s="16" t="s">
        <v>11</v>
      </c>
      <c r="J280" s="16" t="s">
        <v>427</v>
      </c>
      <c r="K280" s="16" t="s">
        <v>428</v>
      </c>
      <c r="L280" s="16"/>
      <c r="M280" s="16"/>
      <c r="N280" s="23" t="str">
        <f>HYPERLINK("http://slimages.macys.com/is/image/MCY/17534305 ")</f>
        <v xml:space="preserve">http://slimages.macys.com/is/image/MCY/17534305 </v>
      </c>
    </row>
    <row r="281" spans="1:14" x14ac:dyDescent="0.25">
      <c r="A281" s="21" t="s">
        <v>429</v>
      </c>
      <c r="B281" s="16" t="s">
        <v>430</v>
      </c>
      <c r="C281" s="17">
        <v>1</v>
      </c>
      <c r="D281" s="22">
        <v>40</v>
      </c>
      <c r="E281" s="22">
        <v>40</v>
      </c>
      <c r="F281" s="17">
        <v>100077742</v>
      </c>
      <c r="G281" s="16" t="s">
        <v>124</v>
      </c>
      <c r="H281" s="21" t="s">
        <v>32</v>
      </c>
      <c r="I281" s="16" t="s">
        <v>11</v>
      </c>
      <c r="J281" s="16" t="s">
        <v>427</v>
      </c>
      <c r="K281" s="16" t="s">
        <v>428</v>
      </c>
      <c r="L281" s="16" t="s">
        <v>111</v>
      </c>
      <c r="M281" s="16" t="s">
        <v>431</v>
      </c>
      <c r="N281" s="23" t="str">
        <f>HYPERLINK("http://slimages.macys.com/is/image/MCY/21262598 ")</f>
        <v xml:space="preserve">http://slimages.macys.com/is/image/MCY/21262598 </v>
      </c>
    </row>
    <row r="282" spans="1:14" x14ac:dyDescent="0.25">
      <c r="A282" s="21" t="s">
        <v>2669</v>
      </c>
      <c r="B282" s="16" t="s">
        <v>2670</v>
      </c>
      <c r="C282" s="17">
        <v>2</v>
      </c>
      <c r="D282" s="22">
        <v>19.989999999999998</v>
      </c>
      <c r="E282" s="22">
        <v>39.979999999999997</v>
      </c>
      <c r="F282" s="17">
        <v>100138006</v>
      </c>
      <c r="G282" s="16" t="s">
        <v>31</v>
      </c>
      <c r="H282" s="21" t="s">
        <v>27</v>
      </c>
      <c r="I282" s="16" t="s">
        <v>11</v>
      </c>
      <c r="J282" s="16" t="s">
        <v>427</v>
      </c>
      <c r="K282" s="16" t="s">
        <v>428</v>
      </c>
      <c r="L282" s="16"/>
      <c r="M282" s="16"/>
      <c r="N282" s="23" t="str">
        <f>HYPERLINK("http://slimages.macys.com/is/image/MCY/20056989 ")</f>
        <v xml:space="preserve">http://slimages.macys.com/is/image/MCY/20056989 </v>
      </c>
    </row>
    <row r="283" spans="1:14" x14ac:dyDescent="0.25">
      <c r="A283" s="21" t="s">
        <v>1772</v>
      </c>
      <c r="B283" s="16" t="s">
        <v>1773</v>
      </c>
      <c r="C283" s="17">
        <v>1</v>
      </c>
      <c r="D283" s="22">
        <v>19.989999999999998</v>
      </c>
      <c r="E283" s="22">
        <v>19.989999999999998</v>
      </c>
      <c r="F283" s="17">
        <v>100117215</v>
      </c>
      <c r="G283" s="16" t="s">
        <v>174</v>
      </c>
      <c r="H283" s="21" t="s">
        <v>40</v>
      </c>
      <c r="I283" s="16" t="s">
        <v>11</v>
      </c>
      <c r="J283" s="16" t="s">
        <v>427</v>
      </c>
      <c r="K283" s="16" t="s">
        <v>428</v>
      </c>
      <c r="L283" s="16"/>
      <c r="M283" s="16"/>
      <c r="N283" s="23" t="str">
        <f>HYPERLINK("http://slimages.macys.com/is/image/MCY/20549944 ")</f>
        <v xml:space="preserve">http://slimages.macys.com/is/image/MCY/20549944 </v>
      </c>
    </row>
    <row r="284" spans="1:14" x14ac:dyDescent="0.25">
      <c r="A284" s="21" t="s">
        <v>1770</v>
      </c>
      <c r="B284" s="16" t="s">
        <v>1771</v>
      </c>
      <c r="C284" s="17">
        <v>1</v>
      </c>
      <c r="D284" s="22">
        <v>24</v>
      </c>
      <c r="E284" s="22">
        <v>24</v>
      </c>
      <c r="F284" s="17">
        <v>100122811</v>
      </c>
      <c r="G284" s="16" t="s">
        <v>107</v>
      </c>
      <c r="H284" s="21" t="s">
        <v>55</v>
      </c>
      <c r="I284" s="16" t="s">
        <v>11</v>
      </c>
      <c r="J284" s="16" t="s">
        <v>427</v>
      </c>
      <c r="K284" s="16" t="s">
        <v>428</v>
      </c>
      <c r="L284" s="16"/>
      <c r="M284" s="16"/>
      <c r="N284" s="23" t="str">
        <f>HYPERLINK("http://slimages.macys.com/is/image/MCY/20549922 ")</f>
        <v xml:space="preserve">http://slimages.macys.com/is/image/MCY/20549922 </v>
      </c>
    </row>
    <row r="285" spans="1:14" x14ac:dyDescent="0.25">
      <c r="A285" s="21" t="s">
        <v>451</v>
      </c>
      <c r="B285" s="16" t="s">
        <v>452</v>
      </c>
      <c r="C285" s="17">
        <v>1</v>
      </c>
      <c r="D285" s="22">
        <v>5.6</v>
      </c>
      <c r="E285" s="22">
        <v>5.6</v>
      </c>
      <c r="F285" s="17">
        <v>100117216</v>
      </c>
      <c r="G285" s="16" t="s">
        <v>205</v>
      </c>
      <c r="H285" s="21" t="s">
        <v>55</v>
      </c>
      <c r="I285" s="16" t="s">
        <v>11</v>
      </c>
      <c r="J285" s="16" t="s">
        <v>427</v>
      </c>
      <c r="K285" s="16" t="s">
        <v>428</v>
      </c>
      <c r="L285" s="16"/>
      <c r="M285" s="16"/>
      <c r="N285" s="23" t="str">
        <f>HYPERLINK("http://slimages.macys.com/is/image/MCY/20549906 ")</f>
        <v xml:space="preserve">http://slimages.macys.com/is/image/MCY/20549906 </v>
      </c>
    </row>
    <row r="286" spans="1:14" x14ac:dyDescent="0.25">
      <c r="A286" s="21" t="s">
        <v>447</v>
      </c>
      <c r="B286" s="16" t="s">
        <v>448</v>
      </c>
      <c r="C286" s="17">
        <v>1</v>
      </c>
      <c r="D286" s="22">
        <v>5.6</v>
      </c>
      <c r="E286" s="22">
        <v>5.6</v>
      </c>
      <c r="F286" s="17">
        <v>100117216</v>
      </c>
      <c r="G286" s="16" t="s">
        <v>205</v>
      </c>
      <c r="H286" s="21" t="s">
        <v>27</v>
      </c>
      <c r="I286" s="16" t="s">
        <v>11</v>
      </c>
      <c r="J286" s="16" t="s">
        <v>427</v>
      </c>
      <c r="K286" s="16" t="s">
        <v>428</v>
      </c>
      <c r="L286" s="16"/>
      <c r="M286" s="16"/>
      <c r="N286" s="23" t="str">
        <f>HYPERLINK("http://slimages.macys.com/is/image/MCY/20549906 ")</f>
        <v xml:space="preserve">http://slimages.macys.com/is/image/MCY/20549906 </v>
      </c>
    </row>
    <row r="287" spans="1:14" x14ac:dyDescent="0.25">
      <c r="A287" s="21" t="s">
        <v>2673</v>
      </c>
      <c r="B287" s="16" t="s">
        <v>1060</v>
      </c>
      <c r="C287" s="17">
        <v>1</v>
      </c>
      <c r="D287" s="22">
        <v>5.6</v>
      </c>
      <c r="E287" s="22">
        <v>5.6</v>
      </c>
      <c r="F287" s="17">
        <v>100117216</v>
      </c>
      <c r="G287" s="16" t="s">
        <v>205</v>
      </c>
      <c r="H287" s="21" t="s">
        <v>87</v>
      </c>
      <c r="I287" s="16" t="s">
        <v>11</v>
      </c>
      <c r="J287" s="16" t="s">
        <v>427</v>
      </c>
      <c r="K287" s="16" t="s">
        <v>428</v>
      </c>
      <c r="L287" s="16"/>
      <c r="M287" s="16"/>
      <c r="N287" s="23" t="str">
        <f>HYPERLINK("http://slimages.macys.com/is/image/MCY/18262155 ")</f>
        <v xml:space="preserve">http://slimages.macys.com/is/image/MCY/18262155 </v>
      </c>
    </row>
    <row r="288" spans="1:14" x14ac:dyDescent="0.25">
      <c r="A288" s="21" t="s">
        <v>455</v>
      </c>
      <c r="B288" s="16" t="s">
        <v>456</v>
      </c>
      <c r="C288" s="17">
        <v>2</v>
      </c>
      <c r="D288" s="22">
        <v>5.6</v>
      </c>
      <c r="E288" s="22">
        <v>11.2</v>
      </c>
      <c r="F288" s="17">
        <v>100117216</v>
      </c>
      <c r="G288" s="16" t="s">
        <v>104</v>
      </c>
      <c r="H288" s="21" t="s">
        <v>27</v>
      </c>
      <c r="I288" s="16" t="s">
        <v>11</v>
      </c>
      <c r="J288" s="16" t="s">
        <v>427</v>
      </c>
      <c r="K288" s="16" t="s">
        <v>428</v>
      </c>
      <c r="L288" s="16"/>
      <c r="M288" s="16"/>
      <c r="N288" s="23" t="str">
        <f>HYPERLINK("http://slimages.macys.com/is/image/MCY/20549906 ")</f>
        <v xml:space="preserve">http://slimages.macys.com/is/image/MCY/20549906 </v>
      </c>
    </row>
    <row r="289" spans="1:14" x14ac:dyDescent="0.25">
      <c r="A289" s="21" t="s">
        <v>2674</v>
      </c>
      <c r="B289" s="16" t="s">
        <v>2675</v>
      </c>
      <c r="C289" s="17">
        <v>1</v>
      </c>
      <c r="D289" s="22">
        <v>5.6</v>
      </c>
      <c r="E289" s="22">
        <v>5.6</v>
      </c>
      <c r="F289" s="17">
        <v>100117216</v>
      </c>
      <c r="G289" s="16" t="s">
        <v>104</v>
      </c>
      <c r="H289" s="21" t="s">
        <v>87</v>
      </c>
      <c r="I289" s="16" t="s">
        <v>11</v>
      </c>
      <c r="J289" s="16" t="s">
        <v>427</v>
      </c>
      <c r="K289" s="16" t="s">
        <v>428</v>
      </c>
      <c r="L289" s="16"/>
      <c r="M289" s="16"/>
      <c r="N289" s="23" t="str">
        <f>HYPERLINK("http://slimages.macys.com/is/image/MCY/20549906 ")</f>
        <v xml:space="preserve">http://slimages.macys.com/is/image/MCY/20549906 </v>
      </c>
    </row>
    <row r="290" spans="1:14" x14ac:dyDescent="0.25">
      <c r="A290" s="21" t="s">
        <v>2671</v>
      </c>
      <c r="B290" s="16" t="s">
        <v>2672</v>
      </c>
      <c r="C290" s="17">
        <v>1</v>
      </c>
      <c r="D290" s="22">
        <v>5.6</v>
      </c>
      <c r="E290" s="22">
        <v>5.6</v>
      </c>
      <c r="F290" s="17">
        <v>100117216</v>
      </c>
      <c r="G290" s="16" t="s">
        <v>174</v>
      </c>
      <c r="H290" s="21" t="s">
        <v>87</v>
      </c>
      <c r="I290" s="16" t="s">
        <v>11</v>
      </c>
      <c r="J290" s="16" t="s">
        <v>427</v>
      </c>
      <c r="K290" s="16" t="s">
        <v>428</v>
      </c>
      <c r="L290" s="16"/>
      <c r="M290" s="16"/>
      <c r="N290" s="23" t="str">
        <f>HYPERLINK("http://slimages.macys.com/is/image/MCY/18995893 ")</f>
        <v xml:space="preserve">http://slimages.macys.com/is/image/MCY/18995893 </v>
      </c>
    </row>
    <row r="291" spans="1:14" x14ac:dyDescent="0.25">
      <c r="A291" s="21" t="s">
        <v>449</v>
      </c>
      <c r="B291" s="16" t="s">
        <v>450</v>
      </c>
      <c r="C291" s="17">
        <v>2</v>
      </c>
      <c r="D291" s="22">
        <v>5.6</v>
      </c>
      <c r="E291" s="22">
        <v>11.2</v>
      </c>
      <c r="F291" s="17">
        <v>100117216</v>
      </c>
      <c r="G291" s="16" t="s">
        <v>85</v>
      </c>
      <c r="H291" s="21" t="s">
        <v>27</v>
      </c>
      <c r="I291" s="16" t="s">
        <v>11</v>
      </c>
      <c r="J291" s="16" t="s">
        <v>427</v>
      </c>
      <c r="K291" s="16" t="s">
        <v>428</v>
      </c>
      <c r="L291" s="16"/>
      <c r="M291" s="16"/>
      <c r="N291" s="23" t="str">
        <f>HYPERLINK("http://slimages.macys.com/is/image/MCY/20549906 ")</f>
        <v xml:space="preserve">http://slimages.macys.com/is/image/MCY/20549906 </v>
      </c>
    </row>
    <row r="292" spans="1:14" x14ac:dyDescent="0.25">
      <c r="A292" s="21" t="s">
        <v>1058</v>
      </c>
      <c r="B292" s="16" t="s">
        <v>1059</v>
      </c>
      <c r="C292" s="17">
        <v>1</v>
      </c>
      <c r="D292" s="22">
        <v>5.6</v>
      </c>
      <c r="E292" s="22">
        <v>5.6</v>
      </c>
      <c r="F292" s="17">
        <v>100117216</v>
      </c>
      <c r="G292" s="16" t="s">
        <v>85</v>
      </c>
      <c r="H292" s="21" t="s">
        <v>87</v>
      </c>
      <c r="I292" s="16" t="s">
        <v>11</v>
      </c>
      <c r="J292" s="16" t="s">
        <v>427</v>
      </c>
      <c r="K292" s="16" t="s">
        <v>428</v>
      </c>
      <c r="L292" s="16"/>
      <c r="M292" s="16"/>
      <c r="N292" s="23" t="str">
        <f>HYPERLINK("http://slimages.macys.com/is/image/MCY/20549906 ")</f>
        <v xml:space="preserve">http://slimages.macys.com/is/image/MCY/20549906 </v>
      </c>
    </row>
    <row r="293" spans="1:14" x14ac:dyDescent="0.25">
      <c r="A293" s="21" t="s">
        <v>2663</v>
      </c>
      <c r="B293" s="16" t="s">
        <v>2664</v>
      </c>
      <c r="C293" s="17">
        <v>1</v>
      </c>
      <c r="D293" s="22">
        <v>32</v>
      </c>
      <c r="E293" s="22">
        <v>32</v>
      </c>
      <c r="F293" s="17">
        <v>100122805</v>
      </c>
      <c r="G293" s="16" t="s">
        <v>31</v>
      </c>
      <c r="H293" s="21" t="s">
        <v>32</v>
      </c>
      <c r="I293" s="16" t="s">
        <v>11</v>
      </c>
      <c r="J293" s="16" t="s">
        <v>427</v>
      </c>
      <c r="K293" s="16" t="s">
        <v>428</v>
      </c>
      <c r="L293" s="16"/>
      <c r="M293" s="16"/>
      <c r="N293" s="23" t="str">
        <f>HYPERLINK("http://slimages.macys.com/is/image/MCY/18773596 ")</f>
        <v xml:space="preserve">http://slimages.macys.com/is/image/MCY/18773596 </v>
      </c>
    </row>
    <row r="294" spans="1:14" x14ac:dyDescent="0.25">
      <c r="A294" s="21" t="s">
        <v>783</v>
      </c>
      <c r="B294" s="16" t="s">
        <v>784</v>
      </c>
      <c r="C294" s="17">
        <v>2</v>
      </c>
      <c r="D294" s="22">
        <v>40</v>
      </c>
      <c r="E294" s="22">
        <v>80</v>
      </c>
      <c r="F294" s="17">
        <v>100131763</v>
      </c>
      <c r="G294" s="16" t="s">
        <v>31</v>
      </c>
      <c r="H294" s="21" t="s">
        <v>40</v>
      </c>
      <c r="I294" s="16" t="s">
        <v>11</v>
      </c>
      <c r="J294" s="16" t="s">
        <v>427</v>
      </c>
      <c r="K294" s="16" t="s">
        <v>428</v>
      </c>
      <c r="L294" s="16"/>
      <c r="M294" s="16"/>
      <c r="N294" s="23" t="str">
        <f>HYPERLINK("http://slimages.macys.com/is/image/MCY/19413022 ")</f>
        <v xml:space="preserve">http://slimages.macys.com/is/image/MCY/19413022 </v>
      </c>
    </row>
    <row r="295" spans="1:14" x14ac:dyDescent="0.25">
      <c r="A295" s="21" t="s">
        <v>2667</v>
      </c>
      <c r="B295" s="16" t="s">
        <v>2668</v>
      </c>
      <c r="C295" s="17">
        <v>2</v>
      </c>
      <c r="D295" s="22">
        <v>40</v>
      </c>
      <c r="E295" s="22">
        <v>80</v>
      </c>
      <c r="F295" s="17">
        <v>100131763</v>
      </c>
      <c r="G295" s="16" t="s">
        <v>31</v>
      </c>
      <c r="H295" s="21" t="s">
        <v>55</v>
      </c>
      <c r="I295" s="16" t="s">
        <v>11</v>
      </c>
      <c r="J295" s="16" t="s">
        <v>427</v>
      </c>
      <c r="K295" s="16" t="s">
        <v>428</v>
      </c>
      <c r="L295" s="16"/>
      <c r="M295" s="16"/>
      <c r="N295" s="23" t="str">
        <f>HYPERLINK("http://slimages.macys.com/is/image/MCY/19413022 ")</f>
        <v xml:space="preserve">http://slimages.macys.com/is/image/MCY/19413022 </v>
      </c>
    </row>
    <row r="296" spans="1:14" x14ac:dyDescent="0.25">
      <c r="A296" s="21" t="s">
        <v>1357</v>
      </c>
      <c r="B296" s="16" t="s">
        <v>1358</v>
      </c>
      <c r="C296" s="17">
        <v>1</v>
      </c>
      <c r="D296" s="22">
        <v>40</v>
      </c>
      <c r="E296" s="22">
        <v>40</v>
      </c>
      <c r="F296" s="17">
        <v>100131763</v>
      </c>
      <c r="G296" s="16" t="s">
        <v>31</v>
      </c>
      <c r="H296" s="21" t="s">
        <v>87</v>
      </c>
      <c r="I296" s="16" t="s">
        <v>11</v>
      </c>
      <c r="J296" s="16" t="s">
        <v>427</v>
      </c>
      <c r="K296" s="16" t="s">
        <v>428</v>
      </c>
      <c r="L296" s="16"/>
      <c r="M296" s="16"/>
      <c r="N296" s="23" t="str">
        <f>HYPERLINK("http://slimages.macys.com/is/image/MCY/19413022 ")</f>
        <v xml:space="preserve">http://slimages.macys.com/is/image/MCY/19413022 </v>
      </c>
    </row>
    <row r="297" spans="1:14" x14ac:dyDescent="0.25">
      <c r="A297" s="21" t="s">
        <v>2571</v>
      </c>
      <c r="B297" s="16" t="s">
        <v>2572</v>
      </c>
      <c r="C297" s="17">
        <v>1</v>
      </c>
      <c r="D297" s="22">
        <v>44</v>
      </c>
      <c r="E297" s="22">
        <v>44</v>
      </c>
      <c r="F297" s="17" t="s">
        <v>1285</v>
      </c>
      <c r="G297" s="16" t="s">
        <v>174</v>
      </c>
      <c r="H297" s="21" t="s">
        <v>55</v>
      </c>
      <c r="I297" s="16" t="s">
        <v>11</v>
      </c>
      <c r="J297" s="16" t="s">
        <v>343</v>
      </c>
      <c r="K297" s="16" t="s">
        <v>358</v>
      </c>
      <c r="L297" s="16"/>
      <c r="M297" s="16"/>
      <c r="N297" s="23" t="str">
        <f>HYPERLINK("http://slimages.macys.com/is/image/MCY/17786222 ")</f>
        <v xml:space="preserve">http://slimages.macys.com/is/image/MCY/17786222 </v>
      </c>
    </row>
    <row r="298" spans="1:14" x14ac:dyDescent="0.25">
      <c r="A298" s="21" t="s">
        <v>2503</v>
      </c>
      <c r="B298" s="16" t="s">
        <v>2504</v>
      </c>
      <c r="C298" s="17">
        <v>1</v>
      </c>
      <c r="D298" s="22">
        <v>34</v>
      </c>
      <c r="E298" s="22">
        <v>34</v>
      </c>
      <c r="F298" s="17" t="s">
        <v>1486</v>
      </c>
      <c r="G298" s="16" t="s">
        <v>86</v>
      </c>
      <c r="H298" s="21" t="s">
        <v>27</v>
      </c>
      <c r="I298" s="16" t="s">
        <v>11</v>
      </c>
      <c r="J298" s="16" t="s">
        <v>343</v>
      </c>
      <c r="K298" s="16" t="s">
        <v>366</v>
      </c>
      <c r="L298" s="16"/>
      <c r="M298" s="16"/>
      <c r="N298" s="23" t="str">
        <f>HYPERLINK("http://slimages.macys.com/is/image/MCY/19673104 ")</f>
        <v xml:space="preserve">http://slimages.macys.com/is/image/MCY/19673104 </v>
      </c>
    </row>
    <row r="299" spans="1:14" x14ac:dyDescent="0.25">
      <c r="A299" s="21" t="s">
        <v>2512</v>
      </c>
      <c r="B299" s="16" t="s">
        <v>2513</v>
      </c>
      <c r="C299" s="17">
        <v>1</v>
      </c>
      <c r="D299" s="22">
        <v>34</v>
      </c>
      <c r="E299" s="22">
        <v>34</v>
      </c>
      <c r="F299" s="17" t="s">
        <v>770</v>
      </c>
      <c r="G299" s="16" t="s">
        <v>349</v>
      </c>
      <c r="H299" s="21" t="s">
        <v>55</v>
      </c>
      <c r="I299" s="16" t="s">
        <v>11</v>
      </c>
      <c r="J299" s="16" t="s">
        <v>343</v>
      </c>
      <c r="K299" s="16" t="s">
        <v>366</v>
      </c>
      <c r="L299" s="16"/>
      <c r="M299" s="16"/>
      <c r="N299" s="23" t="str">
        <f>HYPERLINK("http://slimages.macys.com/is/image/MCY/19673301 ")</f>
        <v xml:space="preserve">http://slimages.macys.com/is/image/MCY/19673301 </v>
      </c>
    </row>
    <row r="300" spans="1:14" x14ac:dyDescent="0.25">
      <c r="A300" s="21" t="s">
        <v>2495</v>
      </c>
      <c r="B300" s="16" t="s">
        <v>2496</v>
      </c>
      <c r="C300" s="17">
        <v>1</v>
      </c>
      <c r="D300" s="22">
        <v>34</v>
      </c>
      <c r="E300" s="22">
        <v>34</v>
      </c>
      <c r="F300" s="17" t="s">
        <v>770</v>
      </c>
      <c r="G300" s="16" t="s">
        <v>122</v>
      </c>
      <c r="H300" s="21" t="s">
        <v>27</v>
      </c>
      <c r="I300" s="16" t="s">
        <v>11</v>
      </c>
      <c r="J300" s="16" t="s">
        <v>343</v>
      </c>
      <c r="K300" s="16" t="s">
        <v>366</v>
      </c>
      <c r="L300" s="16"/>
      <c r="M300" s="16"/>
      <c r="N300" s="23" t="str">
        <f>HYPERLINK("http://slimages.macys.com/is/image/MCY/19734801 ")</f>
        <v xml:space="preserve">http://slimages.macys.com/is/image/MCY/19734801 </v>
      </c>
    </row>
    <row r="301" spans="1:14" x14ac:dyDescent="0.25">
      <c r="A301" s="21" t="s">
        <v>2510</v>
      </c>
      <c r="B301" s="16" t="s">
        <v>2511</v>
      </c>
      <c r="C301" s="17">
        <v>1</v>
      </c>
      <c r="D301" s="22">
        <v>34</v>
      </c>
      <c r="E301" s="22">
        <v>34</v>
      </c>
      <c r="F301" s="17" t="s">
        <v>1035</v>
      </c>
      <c r="G301" s="16" t="s">
        <v>62</v>
      </c>
      <c r="H301" s="21" t="s">
        <v>40</v>
      </c>
      <c r="I301" s="16" t="s">
        <v>11</v>
      </c>
      <c r="J301" s="16" t="s">
        <v>343</v>
      </c>
      <c r="K301" s="16" t="s">
        <v>366</v>
      </c>
      <c r="L301" s="16"/>
      <c r="M301" s="16"/>
      <c r="N301" s="23" t="str">
        <f>HYPERLINK("http://slimages.macys.com/is/image/MCY/19734597 ")</f>
        <v xml:space="preserve">http://slimages.macys.com/is/image/MCY/19734597 </v>
      </c>
    </row>
    <row r="302" spans="1:14" x14ac:dyDescent="0.25">
      <c r="A302" s="21" t="s">
        <v>2499</v>
      </c>
      <c r="B302" s="16" t="s">
        <v>2500</v>
      </c>
      <c r="C302" s="17">
        <v>2</v>
      </c>
      <c r="D302" s="22">
        <v>34</v>
      </c>
      <c r="E302" s="22">
        <v>68</v>
      </c>
      <c r="F302" s="17" t="s">
        <v>1035</v>
      </c>
      <c r="G302" s="16" t="s">
        <v>62</v>
      </c>
      <c r="H302" s="21" t="s">
        <v>27</v>
      </c>
      <c r="I302" s="16" t="s">
        <v>11</v>
      </c>
      <c r="J302" s="16" t="s">
        <v>343</v>
      </c>
      <c r="K302" s="16" t="s">
        <v>366</v>
      </c>
      <c r="L302" s="16"/>
      <c r="M302" s="16"/>
      <c r="N302" s="23" t="str">
        <f>HYPERLINK("http://slimages.macys.com/is/image/MCY/19734597 ")</f>
        <v xml:space="preserve">http://slimages.macys.com/is/image/MCY/19734597 </v>
      </c>
    </row>
    <row r="303" spans="1:14" x14ac:dyDescent="0.25">
      <c r="A303" s="21" t="s">
        <v>2501</v>
      </c>
      <c r="B303" s="16" t="s">
        <v>2502</v>
      </c>
      <c r="C303" s="17">
        <v>2</v>
      </c>
      <c r="D303" s="22">
        <v>34</v>
      </c>
      <c r="E303" s="22">
        <v>68</v>
      </c>
      <c r="F303" s="17" t="s">
        <v>1035</v>
      </c>
      <c r="G303" s="16" t="s">
        <v>31</v>
      </c>
      <c r="H303" s="21" t="s">
        <v>32</v>
      </c>
      <c r="I303" s="16" t="s">
        <v>11</v>
      </c>
      <c r="J303" s="16" t="s">
        <v>343</v>
      </c>
      <c r="K303" s="16" t="s">
        <v>366</v>
      </c>
      <c r="L303" s="16"/>
      <c r="M303" s="16"/>
      <c r="N303" s="23" t="str">
        <f>HYPERLINK("http://slimages.macys.com/is/image/MCY/19734597 ")</f>
        <v xml:space="preserve">http://slimages.macys.com/is/image/MCY/19734597 </v>
      </c>
    </row>
    <row r="304" spans="1:14" x14ac:dyDescent="0.25">
      <c r="A304" s="21" t="s">
        <v>2580</v>
      </c>
      <c r="B304" s="16" t="s">
        <v>2581</v>
      </c>
      <c r="C304" s="17">
        <v>2</v>
      </c>
      <c r="D304" s="22">
        <v>27.5</v>
      </c>
      <c r="E304" s="22">
        <v>55</v>
      </c>
      <c r="F304" s="17" t="s">
        <v>394</v>
      </c>
      <c r="G304" s="16" t="s">
        <v>78</v>
      </c>
      <c r="H304" s="21" t="s">
        <v>40</v>
      </c>
      <c r="I304" s="16" t="s">
        <v>11</v>
      </c>
      <c r="J304" s="16" t="s">
        <v>343</v>
      </c>
      <c r="K304" s="16" t="s">
        <v>366</v>
      </c>
      <c r="L304" s="16"/>
      <c r="M304" s="16"/>
      <c r="N304" s="23" t="str">
        <f>HYPERLINK("http://slimages.macys.com/is/image/MCY/19306228 ")</f>
        <v xml:space="preserve">http://slimages.macys.com/is/image/MCY/19306228 </v>
      </c>
    </row>
    <row r="305" spans="1:14" x14ac:dyDescent="0.25">
      <c r="A305" s="21" t="s">
        <v>2591</v>
      </c>
      <c r="B305" s="16" t="s">
        <v>2592</v>
      </c>
      <c r="C305" s="17">
        <v>1</v>
      </c>
      <c r="D305" s="22">
        <v>27.5</v>
      </c>
      <c r="E305" s="22">
        <v>27.5</v>
      </c>
      <c r="F305" s="17" t="s">
        <v>394</v>
      </c>
      <c r="G305" s="16" t="s">
        <v>78</v>
      </c>
      <c r="H305" s="21" t="s">
        <v>55</v>
      </c>
      <c r="I305" s="16" t="s">
        <v>11</v>
      </c>
      <c r="J305" s="16" t="s">
        <v>343</v>
      </c>
      <c r="K305" s="16" t="s">
        <v>366</v>
      </c>
      <c r="L305" s="16"/>
      <c r="M305" s="16"/>
      <c r="N305" s="23" t="str">
        <f>HYPERLINK("http://slimages.macys.com/is/image/MCY/19306228 ")</f>
        <v xml:space="preserve">http://slimages.macys.com/is/image/MCY/19306228 </v>
      </c>
    </row>
    <row r="306" spans="1:14" x14ac:dyDescent="0.25">
      <c r="A306" s="21" t="s">
        <v>2582</v>
      </c>
      <c r="B306" s="16" t="s">
        <v>2583</v>
      </c>
      <c r="C306" s="17">
        <v>1</v>
      </c>
      <c r="D306" s="22">
        <v>27.5</v>
      </c>
      <c r="E306" s="22">
        <v>27.5</v>
      </c>
      <c r="F306" s="17" t="s">
        <v>394</v>
      </c>
      <c r="G306" s="16" t="s">
        <v>124</v>
      </c>
      <c r="H306" s="21" t="s">
        <v>40</v>
      </c>
      <c r="I306" s="16" t="s">
        <v>11</v>
      </c>
      <c r="J306" s="16" t="s">
        <v>343</v>
      </c>
      <c r="K306" s="16" t="s">
        <v>366</v>
      </c>
      <c r="L306" s="16"/>
      <c r="M306" s="16"/>
      <c r="N306" s="23" t="str">
        <f>HYPERLINK("http://slimages.macys.com/is/image/MCY/19306234 ")</f>
        <v xml:space="preserve">http://slimages.macys.com/is/image/MCY/19306234 </v>
      </c>
    </row>
    <row r="307" spans="1:14" x14ac:dyDescent="0.25">
      <c r="A307" s="21" t="s">
        <v>2573</v>
      </c>
      <c r="B307" s="16" t="s">
        <v>2574</v>
      </c>
      <c r="C307" s="17">
        <v>2</v>
      </c>
      <c r="D307" s="22">
        <v>27.5</v>
      </c>
      <c r="E307" s="22">
        <v>55</v>
      </c>
      <c r="F307" s="17" t="s">
        <v>394</v>
      </c>
      <c r="G307" s="16" t="s">
        <v>349</v>
      </c>
      <c r="H307" s="21" t="s">
        <v>40</v>
      </c>
      <c r="I307" s="16" t="s">
        <v>11</v>
      </c>
      <c r="J307" s="16" t="s">
        <v>343</v>
      </c>
      <c r="K307" s="16" t="s">
        <v>366</v>
      </c>
      <c r="L307" s="16"/>
      <c r="M307" s="16"/>
      <c r="N307" s="23" t="str">
        <f>HYPERLINK("http://slimages.macys.com/is/image/MCY/19306234 ")</f>
        <v xml:space="preserve">http://slimages.macys.com/is/image/MCY/19306234 </v>
      </c>
    </row>
    <row r="308" spans="1:14" x14ac:dyDescent="0.25">
      <c r="A308" s="21" t="s">
        <v>2523</v>
      </c>
      <c r="B308" s="16" t="s">
        <v>2524</v>
      </c>
      <c r="C308" s="17">
        <v>1</v>
      </c>
      <c r="D308" s="22">
        <v>32</v>
      </c>
      <c r="E308" s="22">
        <v>32</v>
      </c>
      <c r="F308" s="17" t="s">
        <v>1263</v>
      </c>
      <c r="G308" s="16" t="s">
        <v>62</v>
      </c>
      <c r="H308" s="21" t="s">
        <v>40</v>
      </c>
      <c r="I308" s="16" t="s">
        <v>11</v>
      </c>
      <c r="J308" s="16" t="s">
        <v>343</v>
      </c>
      <c r="K308" s="16" t="s">
        <v>366</v>
      </c>
      <c r="L308" s="16"/>
      <c r="M308" s="16"/>
      <c r="N308" s="23" t="str">
        <f>HYPERLINK("http://slimages.macys.com/is/image/MCY/19306272 ")</f>
        <v xml:space="preserve">http://slimages.macys.com/is/image/MCY/19306272 </v>
      </c>
    </row>
    <row r="309" spans="1:14" x14ac:dyDescent="0.25">
      <c r="A309" s="21" t="s">
        <v>1261</v>
      </c>
      <c r="B309" s="16" t="s">
        <v>1262</v>
      </c>
      <c r="C309" s="17">
        <v>1</v>
      </c>
      <c r="D309" s="22">
        <v>32</v>
      </c>
      <c r="E309" s="22">
        <v>32</v>
      </c>
      <c r="F309" s="17" t="s">
        <v>1263</v>
      </c>
      <c r="G309" s="16"/>
      <c r="H309" s="21" t="s">
        <v>32</v>
      </c>
      <c r="I309" s="16" t="s">
        <v>11</v>
      </c>
      <c r="J309" s="16" t="s">
        <v>343</v>
      </c>
      <c r="K309" s="16" t="s">
        <v>366</v>
      </c>
      <c r="L309" s="16"/>
      <c r="M309" s="16"/>
      <c r="N309" s="23" t="str">
        <f>HYPERLINK("http://slimages.macys.com/is/image/MCY/19306272 ")</f>
        <v xml:space="preserve">http://slimages.macys.com/is/image/MCY/19306272 </v>
      </c>
    </row>
    <row r="310" spans="1:14" x14ac:dyDescent="0.25">
      <c r="A310" s="21" t="s">
        <v>367</v>
      </c>
      <c r="B310" s="16" t="s">
        <v>368</v>
      </c>
      <c r="C310" s="17">
        <v>1</v>
      </c>
      <c r="D310" s="22">
        <v>34</v>
      </c>
      <c r="E310" s="22">
        <v>34</v>
      </c>
      <c r="F310" s="17" t="s">
        <v>365</v>
      </c>
      <c r="G310" s="16" t="s">
        <v>31</v>
      </c>
      <c r="H310" s="21" t="s">
        <v>40</v>
      </c>
      <c r="I310" s="16" t="s">
        <v>11</v>
      </c>
      <c r="J310" s="16" t="s">
        <v>343</v>
      </c>
      <c r="K310" s="16" t="s">
        <v>366</v>
      </c>
      <c r="L310" s="16"/>
      <c r="M310" s="16"/>
      <c r="N310" s="23" t="str">
        <f>HYPERLINK("http://slimages.macys.com/is/image/MCY/20072217 ")</f>
        <v xml:space="preserve">http://slimages.macys.com/is/image/MCY/20072217 </v>
      </c>
    </row>
    <row r="311" spans="1:14" x14ac:dyDescent="0.25">
      <c r="A311" s="21" t="s">
        <v>2497</v>
      </c>
      <c r="B311" s="16" t="s">
        <v>2498</v>
      </c>
      <c r="C311" s="17">
        <v>2</v>
      </c>
      <c r="D311" s="22">
        <v>34</v>
      </c>
      <c r="E311" s="22">
        <v>68</v>
      </c>
      <c r="F311" s="17" t="s">
        <v>365</v>
      </c>
      <c r="G311" s="16" t="s">
        <v>31</v>
      </c>
      <c r="H311" s="21" t="s">
        <v>55</v>
      </c>
      <c r="I311" s="16" t="s">
        <v>11</v>
      </c>
      <c r="J311" s="16" t="s">
        <v>343</v>
      </c>
      <c r="K311" s="16" t="s">
        <v>366</v>
      </c>
      <c r="L311" s="16"/>
      <c r="M311" s="16"/>
      <c r="N311" s="23" t="str">
        <f>HYPERLINK("http://slimages.macys.com/is/image/MCY/19673156 ")</f>
        <v xml:space="preserve">http://slimages.macys.com/is/image/MCY/19673156 </v>
      </c>
    </row>
    <row r="312" spans="1:14" x14ac:dyDescent="0.25">
      <c r="A312" s="21" t="s">
        <v>1493</v>
      </c>
      <c r="B312" s="16" t="s">
        <v>1494</v>
      </c>
      <c r="C312" s="17">
        <v>3</v>
      </c>
      <c r="D312" s="22">
        <v>34</v>
      </c>
      <c r="E312" s="22">
        <v>102</v>
      </c>
      <c r="F312" s="17" t="s">
        <v>365</v>
      </c>
      <c r="G312" s="16" t="s">
        <v>44</v>
      </c>
      <c r="H312" s="21" t="s">
        <v>32</v>
      </c>
      <c r="I312" s="16" t="s">
        <v>11</v>
      </c>
      <c r="J312" s="16" t="s">
        <v>343</v>
      </c>
      <c r="K312" s="16" t="s">
        <v>366</v>
      </c>
      <c r="L312" s="16"/>
      <c r="M312" s="16"/>
      <c r="N312" s="23" t="str">
        <f>HYPERLINK("http://slimages.macys.com/is/image/MCY/20072217 ")</f>
        <v xml:space="preserve">http://slimages.macys.com/is/image/MCY/20072217 </v>
      </c>
    </row>
    <row r="313" spans="1:14" x14ac:dyDescent="0.25">
      <c r="A313" s="21" t="s">
        <v>363</v>
      </c>
      <c r="B313" s="16" t="s">
        <v>364</v>
      </c>
      <c r="C313" s="17">
        <v>1</v>
      </c>
      <c r="D313" s="22">
        <v>34</v>
      </c>
      <c r="E313" s="22">
        <v>34</v>
      </c>
      <c r="F313" s="17" t="s">
        <v>365</v>
      </c>
      <c r="G313" s="16" t="s">
        <v>44</v>
      </c>
      <c r="H313" s="21" t="s">
        <v>40</v>
      </c>
      <c r="I313" s="16" t="s">
        <v>11</v>
      </c>
      <c r="J313" s="16" t="s">
        <v>343</v>
      </c>
      <c r="K313" s="16" t="s">
        <v>366</v>
      </c>
      <c r="L313" s="16"/>
      <c r="M313" s="16"/>
      <c r="N313" s="23" t="str">
        <f>HYPERLINK("http://slimages.macys.com/is/image/MCY/20072217 ")</f>
        <v xml:space="preserve">http://slimages.macys.com/is/image/MCY/20072217 </v>
      </c>
    </row>
    <row r="314" spans="1:14" x14ac:dyDescent="0.25">
      <c r="A314" s="21" t="s">
        <v>1482</v>
      </c>
      <c r="B314" s="16" t="s">
        <v>1483</v>
      </c>
      <c r="C314" s="17">
        <v>1</v>
      </c>
      <c r="D314" s="22">
        <v>34</v>
      </c>
      <c r="E314" s="22">
        <v>34</v>
      </c>
      <c r="F314" s="17" t="s">
        <v>365</v>
      </c>
      <c r="G314" s="16" t="s">
        <v>44</v>
      </c>
      <c r="H314" s="21" t="s">
        <v>27</v>
      </c>
      <c r="I314" s="16" t="s">
        <v>11</v>
      </c>
      <c r="J314" s="16" t="s">
        <v>343</v>
      </c>
      <c r="K314" s="16" t="s">
        <v>366</v>
      </c>
      <c r="L314" s="16"/>
      <c r="M314" s="16"/>
      <c r="N314" s="23" t="str">
        <f>HYPERLINK("http://slimages.macys.com/is/image/MCY/20072217 ")</f>
        <v xml:space="preserve">http://slimages.macys.com/is/image/MCY/20072217 </v>
      </c>
    </row>
    <row r="315" spans="1:14" x14ac:dyDescent="0.25">
      <c r="A315" s="21" t="s">
        <v>1258</v>
      </c>
      <c r="B315" s="16" t="s">
        <v>1259</v>
      </c>
      <c r="C315" s="17">
        <v>2</v>
      </c>
      <c r="D315" s="22">
        <v>26.11</v>
      </c>
      <c r="E315" s="22">
        <v>52.22</v>
      </c>
      <c r="F315" s="17" t="s">
        <v>365</v>
      </c>
      <c r="G315" s="16" t="s">
        <v>85</v>
      </c>
      <c r="H315" s="21" t="s">
        <v>32</v>
      </c>
      <c r="I315" s="16" t="s">
        <v>11</v>
      </c>
      <c r="J315" s="16" t="s">
        <v>343</v>
      </c>
      <c r="K315" s="16" t="s">
        <v>366</v>
      </c>
      <c r="L315" s="16"/>
      <c r="M315" s="16"/>
      <c r="N315" s="23" t="str">
        <f>HYPERLINK("http://slimages.macys.com/is/image/MCY/19673156 ")</f>
        <v xml:space="preserve">http://slimages.macys.com/is/image/MCY/19673156 </v>
      </c>
    </row>
    <row r="316" spans="1:14" x14ac:dyDescent="0.25">
      <c r="A316" s="21" t="s">
        <v>1746</v>
      </c>
      <c r="B316" s="16" t="s">
        <v>1747</v>
      </c>
      <c r="C316" s="17">
        <v>3</v>
      </c>
      <c r="D316" s="22">
        <v>34</v>
      </c>
      <c r="E316" s="22">
        <v>102</v>
      </c>
      <c r="F316" s="17" t="s">
        <v>365</v>
      </c>
      <c r="G316" s="16" t="s">
        <v>85</v>
      </c>
      <c r="H316" s="21" t="s">
        <v>40</v>
      </c>
      <c r="I316" s="16" t="s">
        <v>11</v>
      </c>
      <c r="J316" s="16" t="s">
        <v>343</v>
      </c>
      <c r="K316" s="16" t="s">
        <v>366</v>
      </c>
      <c r="L316" s="16"/>
      <c r="M316" s="16"/>
      <c r="N316" s="23" t="str">
        <f>HYPERLINK("http://slimages.macys.com/is/image/MCY/20072217 ")</f>
        <v xml:space="preserve">http://slimages.macys.com/is/image/MCY/20072217 </v>
      </c>
    </row>
    <row r="317" spans="1:14" x14ac:dyDescent="0.25">
      <c r="A317" s="21" t="s">
        <v>2515</v>
      </c>
      <c r="B317" s="16" t="s">
        <v>2516</v>
      </c>
      <c r="C317" s="17">
        <v>1</v>
      </c>
      <c r="D317" s="22">
        <v>34</v>
      </c>
      <c r="E317" s="22">
        <v>34</v>
      </c>
      <c r="F317" s="17" t="s">
        <v>365</v>
      </c>
      <c r="G317" s="16" t="s">
        <v>85</v>
      </c>
      <c r="H317" s="21" t="s">
        <v>55</v>
      </c>
      <c r="I317" s="16" t="s">
        <v>11</v>
      </c>
      <c r="J317" s="16" t="s">
        <v>343</v>
      </c>
      <c r="K317" s="16" t="s">
        <v>366</v>
      </c>
      <c r="L317" s="16"/>
      <c r="M317" s="16"/>
      <c r="N317" s="23" t="str">
        <f>HYPERLINK("http://slimages.macys.com/is/image/MCY/20072211 ")</f>
        <v xml:space="preserve">http://slimages.macys.com/is/image/MCY/20072211 </v>
      </c>
    </row>
    <row r="318" spans="1:14" x14ac:dyDescent="0.25">
      <c r="A318" s="21" t="s">
        <v>1255</v>
      </c>
      <c r="B318" s="16" t="s">
        <v>1256</v>
      </c>
      <c r="C318" s="17">
        <v>2</v>
      </c>
      <c r="D318" s="22">
        <v>34</v>
      </c>
      <c r="E318" s="22">
        <v>68</v>
      </c>
      <c r="F318" s="17" t="s">
        <v>365</v>
      </c>
      <c r="G318" s="16" t="s">
        <v>963</v>
      </c>
      <c r="H318" s="21" t="s">
        <v>32</v>
      </c>
      <c r="I318" s="16" t="s">
        <v>11</v>
      </c>
      <c r="J318" s="16" t="s">
        <v>343</v>
      </c>
      <c r="K318" s="16" t="s">
        <v>366</v>
      </c>
      <c r="L318" s="16"/>
      <c r="M318" s="16"/>
      <c r="N318" s="23" t="str">
        <f>HYPERLINK("http://slimages.macys.com/is/image/MCY/19673165 ")</f>
        <v xml:space="preserve">http://slimages.macys.com/is/image/MCY/19673165 </v>
      </c>
    </row>
    <row r="319" spans="1:14" x14ac:dyDescent="0.25">
      <c r="A319" s="21" t="s">
        <v>2519</v>
      </c>
      <c r="B319" s="16" t="s">
        <v>2520</v>
      </c>
      <c r="C319" s="17">
        <v>4</v>
      </c>
      <c r="D319" s="22">
        <v>34</v>
      </c>
      <c r="E319" s="22">
        <v>136</v>
      </c>
      <c r="F319" s="17" t="s">
        <v>365</v>
      </c>
      <c r="G319" s="16" t="s">
        <v>963</v>
      </c>
      <c r="H319" s="21" t="s">
        <v>40</v>
      </c>
      <c r="I319" s="16" t="s">
        <v>11</v>
      </c>
      <c r="J319" s="16" t="s">
        <v>343</v>
      </c>
      <c r="K319" s="16" t="s">
        <v>366</v>
      </c>
      <c r="L319" s="16"/>
      <c r="M319" s="16"/>
      <c r="N319" s="23" t="str">
        <f>HYPERLINK("http://slimages.macys.com/is/image/MCY/20072217 ")</f>
        <v xml:space="preserve">http://slimages.macys.com/is/image/MCY/20072217 </v>
      </c>
    </row>
    <row r="320" spans="1:14" x14ac:dyDescent="0.25">
      <c r="A320" s="21" t="s">
        <v>2517</v>
      </c>
      <c r="B320" s="16" t="s">
        <v>2518</v>
      </c>
      <c r="C320" s="17">
        <v>1</v>
      </c>
      <c r="D320" s="22">
        <v>34</v>
      </c>
      <c r="E320" s="22">
        <v>34</v>
      </c>
      <c r="F320" s="17" t="s">
        <v>365</v>
      </c>
      <c r="G320" s="16" t="s">
        <v>963</v>
      </c>
      <c r="H320" s="21" t="s">
        <v>55</v>
      </c>
      <c r="I320" s="16" t="s">
        <v>11</v>
      </c>
      <c r="J320" s="16" t="s">
        <v>343</v>
      </c>
      <c r="K320" s="16" t="s">
        <v>366</v>
      </c>
      <c r="L320" s="16"/>
      <c r="M320" s="16"/>
      <c r="N320" s="23" t="str">
        <f>HYPERLINK("http://slimages.macys.com/is/image/MCY/19673156 ")</f>
        <v xml:space="preserve">http://slimages.macys.com/is/image/MCY/19673156 </v>
      </c>
    </row>
    <row r="321" spans="1:14" x14ac:dyDescent="0.25">
      <c r="A321" s="21" t="s">
        <v>1690</v>
      </c>
      <c r="B321" s="16" t="s">
        <v>2514</v>
      </c>
      <c r="C321" s="17">
        <v>1</v>
      </c>
      <c r="D321" s="22">
        <v>26.11</v>
      </c>
      <c r="E321" s="22">
        <v>26.11</v>
      </c>
      <c r="F321" s="17" t="s">
        <v>1691</v>
      </c>
      <c r="G321" s="16" t="s">
        <v>122</v>
      </c>
      <c r="H321" s="21" t="s">
        <v>40</v>
      </c>
      <c r="I321" s="16" t="s">
        <v>11</v>
      </c>
      <c r="J321" s="16" t="s">
        <v>343</v>
      </c>
      <c r="K321" s="16" t="s">
        <v>366</v>
      </c>
      <c r="L321" s="16"/>
      <c r="M321" s="16"/>
      <c r="N321" s="23" t="str">
        <f>HYPERLINK("http://slimages.macys.com/is/image/MCY/19672880 ")</f>
        <v xml:space="preserve">http://slimages.macys.com/is/image/MCY/19672880 </v>
      </c>
    </row>
    <row r="322" spans="1:14" x14ac:dyDescent="0.25">
      <c r="A322" s="21" t="s">
        <v>2508</v>
      </c>
      <c r="B322" s="16" t="s">
        <v>2509</v>
      </c>
      <c r="C322" s="17">
        <v>1</v>
      </c>
      <c r="D322" s="22">
        <v>34</v>
      </c>
      <c r="E322" s="22">
        <v>34</v>
      </c>
      <c r="F322" s="17" t="s">
        <v>1691</v>
      </c>
      <c r="G322" s="16" t="s">
        <v>719</v>
      </c>
      <c r="H322" s="21" t="s">
        <v>40</v>
      </c>
      <c r="I322" s="16" t="s">
        <v>11</v>
      </c>
      <c r="J322" s="16" t="s">
        <v>343</v>
      </c>
      <c r="K322" s="16" t="s">
        <v>366</v>
      </c>
      <c r="L322" s="16"/>
      <c r="M322" s="16"/>
      <c r="N322" s="23" t="str">
        <f>HYPERLINK("http://slimages.macys.com/is/image/MCY/19672880 ")</f>
        <v xml:space="preserve">http://slimages.macys.com/is/image/MCY/19672880 </v>
      </c>
    </row>
    <row r="323" spans="1:14" x14ac:dyDescent="0.25">
      <c r="A323" s="21" t="s">
        <v>1997</v>
      </c>
      <c r="B323" s="16" t="s">
        <v>1998</v>
      </c>
      <c r="C323" s="17">
        <v>1</v>
      </c>
      <c r="D323" s="22">
        <v>26.11</v>
      </c>
      <c r="E323" s="22">
        <v>26.11</v>
      </c>
      <c r="F323" s="17" t="s">
        <v>1293</v>
      </c>
      <c r="G323" s="16" t="s">
        <v>31</v>
      </c>
      <c r="H323" s="21" t="s">
        <v>40</v>
      </c>
      <c r="I323" s="16" t="s">
        <v>11</v>
      </c>
      <c r="J323" s="16" t="s">
        <v>343</v>
      </c>
      <c r="K323" s="16" t="s">
        <v>379</v>
      </c>
      <c r="L323" s="16"/>
      <c r="M323" s="16"/>
      <c r="N323" s="23" t="str">
        <f>HYPERLINK("http://slimages.macys.com/is/image/MCY/20590151 ")</f>
        <v xml:space="preserve">http://slimages.macys.com/is/image/MCY/20590151 </v>
      </c>
    </row>
    <row r="324" spans="1:14" x14ac:dyDescent="0.25">
      <c r="A324" s="21" t="s">
        <v>2034</v>
      </c>
      <c r="B324" s="16" t="s">
        <v>2035</v>
      </c>
      <c r="C324" s="17">
        <v>10</v>
      </c>
      <c r="D324" s="22">
        <v>25</v>
      </c>
      <c r="E324" s="22">
        <v>250</v>
      </c>
      <c r="F324" s="17" t="s">
        <v>1293</v>
      </c>
      <c r="G324" s="16" t="s">
        <v>82</v>
      </c>
      <c r="H324" s="21" t="s">
        <v>32</v>
      </c>
      <c r="I324" s="16" t="s">
        <v>11</v>
      </c>
      <c r="J324" s="16" t="s">
        <v>343</v>
      </c>
      <c r="K324" s="16" t="s">
        <v>379</v>
      </c>
      <c r="L324" s="16"/>
      <c r="M324" s="16"/>
      <c r="N324" s="23" t="str">
        <f>HYPERLINK("http://slimages.macys.com/is/image/MCY/20590151 ")</f>
        <v xml:space="preserve">http://slimages.macys.com/is/image/MCY/20590151 </v>
      </c>
    </row>
    <row r="325" spans="1:14" x14ac:dyDescent="0.25">
      <c r="A325" s="21" t="s">
        <v>1999</v>
      </c>
      <c r="B325" s="16" t="s">
        <v>2000</v>
      </c>
      <c r="C325" s="17">
        <v>13</v>
      </c>
      <c r="D325" s="22">
        <v>25</v>
      </c>
      <c r="E325" s="22">
        <v>325</v>
      </c>
      <c r="F325" s="17" t="s">
        <v>1293</v>
      </c>
      <c r="G325" s="16" t="s">
        <v>82</v>
      </c>
      <c r="H325" s="21" t="s">
        <v>40</v>
      </c>
      <c r="I325" s="16" t="s">
        <v>11</v>
      </c>
      <c r="J325" s="16" t="s">
        <v>343</v>
      </c>
      <c r="K325" s="16" t="s">
        <v>379</v>
      </c>
      <c r="L325" s="16"/>
      <c r="M325" s="16"/>
      <c r="N325" s="23" t="str">
        <f>HYPERLINK("http://slimages.macys.com/is/image/MCY/20590157 ")</f>
        <v xml:space="preserve">http://slimages.macys.com/is/image/MCY/20590157 </v>
      </c>
    </row>
    <row r="326" spans="1:14" x14ac:dyDescent="0.25">
      <c r="A326" s="21" t="s">
        <v>2001</v>
      </c>
      <c r="B326" s="16" t="s">
        <v>2002</v>
      </c>
      <c r="C326" s="17">
        <v>7</v>
      </c>
      <c r="D326" s="22">
        <v>25</v>
      </c>
      <c r="E326" s="22">
        <v>175</v>
      </c>
      <c r="F326" s="17" t="s">
        <v>1293</v>
      </c>
      <c r="G326" s="16" t="s">
        <v>82</v>
      </c>
      <c r="H326" s="21" t="s">
        <v>55</v>
      </c>
      <c r="I326" s="16" t="s">
        <v>11</v>
      </c>
      <c r="J326" s="16" t="s">
        <v>343</v>
      </c>
      <c r="K326" s="16" t="s">
        <v>379</v>
      </c>
      <c r="L326" s="16"/>
      <c r="M326" s="16"/>
      <c r="N326" s="23" t="str">
        <f>HYPERLINK("http://slimages.macys.com/is/image/MCY/20590157 ")</f>
        <v xml:space="preserve">http://slimages.macys.com/is/image/MCY/20590157 </v>
      </c>
    </row>
    <row r="327" spans="1:14" x14ac:dyDescent="0.25">
      <c r="A327" s="21" t="s">
        <v>1295</v>
      </c>
      <c r="B327" s="16" t="s">
        <v>1296</v>
      </c>
      <c r="C327" s="17">
        <v>3</v>
      </c>
      <c r="D327" s="22">
        <v>26.11</v>
      </c>
      <c r="E327" s="22">
        <v>78.33</v>
      </c>
      <c r="F327" s="17" t="s">
        <v>1293</v>
      </c>
      <c r="G327" s="16" t="s">
        <v>82</v>
      </c>
      <c r="H327" s="21" t="s">
        <v>27</v>
      </c>
      <c r="I327" s="16" t="s">
        <v>11</v>
      </c>
      <c r="J327" s="16" t="s">
        <v>343</v>
      </c>
      <c r="K327" s="16" t="s">
        <v>379</v>
      </c>
      <c r="L327" s="16"/>
      <c r="M327" s="16"/>
      <c r="N327" s="23" t="str">
        <f>HYPERLINK("http://slimages.macys.com/is/image/MCY/20590157 ")</f>
        <v xml:space="preserve">http://slimages.macys.com/is/image/MCY/20590157 </v>
      </c>
    </row>
    <row r="328" spans="1:14" x14ac:dyDescent="0.25">
      <c r="A328" s="21" t="s">
        <v>2011</v>
      </c>
      <c r="B328" s="16" t="s">
        <v>2012</v>
      </c>
      <c r="C328" s="17">
        <v>10</v>
      </c>
      <c r="D328" s="22">
        <v>25</v>
      </c>
      <c r="E328" s="22">
        <v>250</v>
      </c>
      <c r="F328" s="17" t="s">
        <v>1293</v>
      </c>
      <c r="G328" s="16" t="s">
        <v>62</v>
      </c>
      <c r="H328" s="21" t="s">
        <v>32</v>
      </c>
      <c r="I328" s="16" t="s">
        <v>11</v>
      </c>
      <c r="J328" s="16" t="s">
        <v>343</v>
      </c>
      <c r="K328" s="16" t="s">
        <v>379</v>
      </c>
      <c r="L328" s="16"/>
      <c r="M328" s="16"/>
      <c r="N328" s="23" t="str">
        <f>HYPERLINK("http://slimages.macys.com/is/image/MCY/20590151 ")</f>
        <v xml:space="preserve">http://slimages.macys.com/is/image/MCY/20590151 </v>
      </c>
    </row>
    <row r="329" spans="1:14" x14ac:dyDescent="0.25">
      <c r="A329" s="21" t="s">
        <v>2015</v>
      </c>
      <c r="B329" s="16" t="s">
        <v>2016</v>
      </c>
      <c r="C329" s="17">
        <v>9</v>
      </c>
      <c r="D329" s="22">
        <v>25</v>
      </c>
      <c r="E329" s="22">
        <v>225</v>
      </c>
      <c r="F329" s="17" t="s">
        <v>1293</v>
      </c>
      <c r="G329" s="16" t="s">
        <v>62</v>
      </c>
      <c r="H329" s="21" t="s">
        <v>40</v>
      </c>
      <c r="I329" s="16" t="s">
        <v>11</v>
      </c>
      <c r="J329" s="16" t="s">
        <v>343</v>
      </c>
      <c r="K329" s="16" t="s">
        <v>379</v>
      </c>
      <c r="L329" s="16"/>
      <c r="M329" s="16"/>
      <c r="N329" s="23" t="str">
        <f>HYPERLINK("http://slimages.macys.com/is/image/MCY/20590157 ")</f>
        <v xml:space="preserve">http://slimages.macys.com/is/image/MCY/20590157 </v>
      </c>
    </row>
    <row r="330" spans="1:14" x14ac:dyDescent="0.25">
      <c r="A330" s="21" t="s">
        <v>2013</v>
      </c>
      <c r="B330" s="16" t="s">
        <v>2014</v>
      </c>
      <c r="C330" s="17">
        <v>2</v>
      </c>
      <c r="D330" s="22">
        <v>25</v>
      </c>
      <c r="E330" s="22">
        <v>50</v>
      </c>
      <c r="F330" s="17" t="s">
        <v>1293</v>
      </c>
      <c r="G330" s="16" t="s">
        <v>62</v>
      </c>
      <c r="H330" s="21" t="s">
        <v>55</v>
      </c>
      <c r="I330" s="16" t="s">
        <v>11</v>
      </c>
      <c r="J330" s="16" t="s">
        <v>343</v>
      </c>
      <c r="K330" s="16" t="s">
        <v>379</v>
      </c>
      <c r="L330" s="16"/>
      <c r="M330" s="16"/>
      <c r="N330" s="23" t="str">
        <f>HYPERLINK("http://slimages.macys.com/is/image/MCY/20590151 ")</f>
        <v xml:space="preserve">http://slimages.macys.com/is/image/MCY/20590151 </v>
      </c>
    </row>
    <row r="331" spans="1:14" x14ac:dyDescent="0.25">
      <c r="A331" s="21" t="s">
        <v>1993</v>
      </c>
      <c r="B331" s="16" t="s">
        <v>1994</v>
      </c>
      <c r="C331" s="17">
        <v>4</v>
      </c>
      <c r="D331" s="22">
        <v>25</v>
      </c>
      <c r="E331" s="22">
        <v>100</v>
      </c>
      <c r="F331" s="17" t="s">
        <v>1293</v>
      </c>
      <c r="G331" s="16" t="s">
        <v>62</v>
      </c>
      <c r="H331" s="21" t="s">
        <v>27</v>
      </c>
      <c r="I331" s="16" t="s">
        <v>11</v>
      </c>
      <c r="J331" s="16" t="s">
        <v>343</v>
      </c>
      <c r="K331" s="16" t="s">
        <v>379</v>
      </c>
      <c r="L331" s="16"/>
      <c r="M331" s="16"/>
      <c r="N331" s="23" t="str">
        <f>HYPERLINK("http://slimages.macys.com/is/image/MCY/20590151 ")</f>
        <v xml:space="preserve">http://slimages.macys.com/is/image/MCY/20590151 </v>
      </c>
    </row>
    <row r="332" spans="1:14" x14ac:dyDescent="0.25">
      <c r="A332" s="21" t="s">
        <v>2027</v>
      </c>
      <c r="B332" s="16" t="s">
        <v>2028</v>
      </c>
      <c r="C332" s="17">
        <v>1</v>
      </c>
      <c r="D332" s="22">
        <v>25</v>
      </c>
      <c r="E332" s="22">
        <v>25</v>
      </c>
      <c r="F332" s="17" t="s">
        <v>1293</v>
      </c>
      <c r="G332" s="16" t="s">
        <v>102</v>
      </c>
      <c r="H332" s="21" t="s">
        <v>32</v>
      </c>
      <c r="I332" s="16" t="s">
        <v>11</v>
      </c>
      <c r="J332" s="16" t="s">
        <v>343</v>
      </c>
      <c r="K332" s="16" t="s">
        <v>379</v>
      </c>
      <c r="L332" s="16"/>
      <c r="M332" s="16"/>
      <c r="N332" s="23" t="str">
        <f>HYPERLINK("http://slimages.macys.com/is/image/MCY/20590151 ")</f>
        <v xml:space="preserve">http://slimages.macys.com/is/image/MCY/20590151 </v>
      </c>
    </row>
    <row r="333" spans="1:14" x14ac:dyDescent="0.25">
      <c r="A333" s="21" t="s">
        <v>2578</v>
      </c>
      <c r="B333" s="16" t="s">
        <v>2579</v>
      </c>
      <c r="C333" s="17">
        <v>3</v>
      </c>
      <c r="D333" s="22">
        <v>27.6</v>
      </c>
      <c r="E333" s="22">
        <v>82.8</v>
      </c>
      <c r="F333" s="17" t="s">
        <v>2031</v>
      </c>
      <c r="G333" s="16" t="s">
        <v>378</v>
      </c>
      <c r="H333" s="21" t="s">
        <v>32</v>
      </c>
      <c r="I333" s="16" t="s">
        <v>11</v>
      </c>
      <c r="J333" s="16" t="s">
        <v>343</v>
      </c>
      <c r="K333" s="16" t="s">
        <v>379</v>
      </c>
      <c r="L333" s="16"/>
      <c r="M333" s="16"/>
      <c r="N333" s="23" t="str">
        <f>HYPERLINK("http://slimages.macys.com/is/image/MCY/19781467 ")</f>
        <v xml:space="preserve">http://slimages.macys.com/is/image/MCY/19781467 </v>
      </c>
    </row>
    <row r="334" spans="1:14" x14ac:dyDescent="0.25">
      <c r="A334" s="21" t="s">
        <v>2589</v>
      </c>
      <c r="B334" s="16" t="s">
        <v>2590</v>
      </c>
      <c r="C334" s="17">
        <v>7</v>
      </c>
      <c r="D334" s="22">
        <v>27.6</v>
      </c>
      <c r="E334" s="22">
        <v>193.2</v>
      </c>
      <c r="F334" s="17" t="s">
        <v>2031</v>
      </c>
      <c r="G334" s="16" t="s">
        <v>378</v>
      </c>
      <c r="H334" s="21" t="s">
        <v>40</v>
      </c>
      <c r="I334" s="16" t="s">
        <v>11</v>
      </c>
      <c r="J334" s="16" t="s">
        <v>343</v>
      </c>
      <c r="K334" s="16" t="s">
        <v>379</v>
      </c>
      <c r="L334" s="16"/>
      <c r="M334" s="16"/>
      <c r="N334" s="23" t="str">
        <f>HYPERLINK("http://slimages.macys.com/is/image/MCY/19781473 ")</f>
        <v xml:space="preserve">http://slimages.macys.com/is/image/MCY/19781473 </v>
      </c>
    </row>
    <row r="335" spans="1:14" x14ac:dyDescent="0.25">
      <c r="A335" s="21" t="s">
        <v>2587</v>
      </c>
      <c r="B335" s="16" t="s">
        <v>2588</v>
      </c>
      <c r="C335" s="17">
        <v>2</v>
      </c>
      <c r="D335" s="22">
        <v>26.11</v>
      </c>
      <c r="E335" s="22">
        <v>52.22</v>
      </c>
      <c r="F335" s="17" t="s">
        <v>2031</v>
      </c>
      <c r="G335" s="16" t="s">
        <v>378</v>
      </c>
      <c r="H335" s="21" t="s">
        <v>55</v>
      </c>
      <c r="I335" s="16" t="s">
        <v>11</v>
      </c>
      <c r="J335" s="16" t="s">
        <v>343</v>
      </c>
      <c r="K335" s="16" t="s">
        <v>379</v>
      </c>
      <c r="L335" s="16"/>
      <c r="M335" s="16"/>
      <c r="N335" s="23" t="str">
        <f>HYPERLINK("http://slimages.macys.com/is/image/MCY/19781473 ")</f>
        <v xml:space="preserve">http://slimages.macys.com/is/image/MCY/19781473 </v>
      </c>
    </row>
    <row r="336" spans="1:14" x14ac:dyDescent="0.25">
      <c r="A336" s="21" t="s">
        <v>2576</v>
      </c>
      <c r="B336" s="16" t="s">
        <v>2577</v>
      </c>
      <c r="C336" s="17">
        <v>2</v>
      </c>
      <c r="D336" s="22">
        <v>27.6</v>
      </c>
      <c r="E336" s="22">
        <v>55.2</v>
      </c>
      <c r="F336" s="17" t="s">
        <v>2031</v>
      </c>
      <c r="G336" s="16" t="s">
        <v>378</v>
      </c>
      <c r="H336" s="21" t="s">
        <v>27</v>
      </c>
      <c r="I336" s="16" t="s">
        <v>11</v>
      </c>
      <c r="J336" s="16" t="s">
        <v>343</v>
      </c>
      <c r="K336" s="16" t="s">
        <v>379</v>
      </c>
      <c r="L336" s="16"/>
      <c r="M336" s="16"/>
      <c r="N336" s="23" t="str">
        <f>HYPERLINK("http://slimages.macys.com/is/image/MCY/19781473 ")</f>
        <v xml:space="preserve">http://slimages.macys.com/is/image/MCY/19781473 </v>
      </c>
    </row>
    <row r="337" spans="1:14" x14ac:dyDescent="0.25">
      <c r="A337" s="21" t="s">
        <v>2611</v>
      </c>
      <c r="B337" s="16" t="s">
        <v>2612</v>
      </c>
      <c r="C337" s="17">
        <v>1</v>
      </c>
      <c r="D337" s="22">
        <v>25</v>
      </c>
      <c r="E337" s="22">
        <v>25</v>
      </c>
      <c r="F337" s="17" t="s">
        <v>773</v>
      </c>
      <c r="G337" s="16" t="s">
        <v>102</v>
      </c>
      <c r="H337" s="21" t="s">
        <v>40</v>
      </c>
      <c r="I337" s="16" t="s">
        <v>11</v>
      </c>
      <c r="J337" s="16" t="s">
        <v>343</v>
      </c>
      <c r="K337" s="16" t="s">
        <v>379</v>
      </c>
      <c r="L337" s="16"/>
      <c r="M337" s="16"/>
      <c r="N337" s="23" t="str">
        <f>HYPERLINK("http://slimages.macys.com/is/image/MCY/20185665 ")</f>
        <v xml:space="preserve">http://slimages.macys.com/is/image/MCY/20185665 </v>
      </c>
    </row>
    <row r="338" spans="1:14" x14ac:dyDescent="0.25">
      <c r="A338" s="21" t="s">
        <v>2653</v>
      </c>
      <c r="B338" s="16" t="s">
        <v>2654</v>
      </c>
      <c r="C338" s="17">
        <v>1</v>
      </c>
      <c r="D338" s="22">
        <v>12.5</v>
      </c>
      <c r="E338" s="22">
        <v>12.5</v>
      </c>
      <c r="F338" s="17" t="s">
        <v>409</v>
      </c>
      <c r="G338" s="16" t="s">
        <v>122</v>
      </c>
      <c r="H338" s="21" t="s">
        <v>40</v>
      </c>
      <c r="I338" s="16" t="s">
        <v>11</v>
      </c>
      <c r="J338" s="16" t="s">
        <v>343</v>
      </c>
      <c r="K338" s="16" t="s">
        <v>379</v>
      </c>
      <c r="L338" s="16"/>
      <c r="M338" s="16"/>
      <c r="N338" s="23" t="str">
        <f>HYPERLINK("http://slimages.macys.com/is/image/MCY/20180196 ")</f>
        <v xml:space="preserve">http://slimages.macys.com/is/image/MCY/20180196 </v>
      </c>
    </row>
    <row r="339" spans="1:14" x14ac:dyDescent="0.25">
      <c r="A339" s="21" t="s">
        <v>2655</v>
      </c>
      <c r="B339" s="16" t="s">
        <v>2656</v>
      </c>
      <c r="C339" s="17">
        <v>1</v>
      </c>
      <c r="D339" s="22">
        <v>12.5</v>
      </c>
      <c r="E339" s="22">
        <v>12.5</v>
      </c>
      <c r="F339" s="17" t="s">
        <v>409</v>
      </c>
      <c r="G339" s="16" t="s">
        <v>122</v>
      </c>
      <c r="H339" s="21" t="s">
        <v>40</v>
      </c>
      <c r="I339" s="16" t="s">
        <v>11</v>
      </c>
      <c r="J339" s="16" t="s">
        <v>343</v>
      </c>
      <c r="K339" s="16" t="s">
        <v>379</v>
      </c>
      <c r="L339" s="16"/>
      <c r="M339" s="16"/>
      <c r="N339" s="23" t="str">
        <f>HYPERLINK("http://slimages.macys.com/is/image/MCY/20180196 ")</f>
        <v xml:space="preserve">http://slimages.macys.com/is/image/MCY/20180196 </v>
      </c>
    </row>
    <row r="340" spans="1:14" x14ac:dyDescent="0.25">
      <c r="A340" s="21" t="s">
        <v>1329</v>
      </c>
      <c r="B340" s="16" t="s">
        <v>1330</v>
      </c>
      <c r="C340" s="17">
        <v>1</v>
      </c>
      <c r="D340" s="22">
        <v>12.5</v>
      </c>
      <c r="E340" s="22">
        <v>12.5</v>
      </c>
      <c r="F340" s="17" t="s">
        <v>409</v>
      </c>
      <c r="G340" s="16" t="s">
        <v>122</v>
      </c>
      <c r="H340" s="21" t="s">
        <v>55</v>
      </c>
      <c r="I340" s="16" t="s">
        <v>11</v>
      </c>
      <c r="J340" s="16" t="s">
        <v>343</v>
      </c>
      <c r="K340" s="16" t="s">
        <v>379</v>
      </c>
      <c r="L340" s="16"/>
      <c r="M340" s="16"/>
      <c r="N340" s="23" t="str">
        <f>HYPERLINK("http://slimages.macys.com/is/image/MCY/20180193 ")</f>
        <v xml:space="preserve">http://slimages.macys.com/is/image/MCY/20180193 </v>
      </c>
    </row>
    <row r="341" spans="1:14" x14ac:dyDescent="0.25">
      <c r="A341" s="21" t="s">
        <v>1699</v>
      </c>
      <c r="B341" s="16" t="s">
        <v>2617</v>
      </c>
      <c r="C341" s="17">
        <v>1</v>
      </c>
      <c r="D341" s="22">
        <v>33.6</v>
      </c>
      <c r="E341" s="22">
        <v>33.6</v>
      </c>
      <c r="F341" s="17" t="s">
        <v>1294</v>
      </c>
      <c r="G341" s="16" t="s">
        <v>124</v>
      </c>
      <c r="H341" s="21" t="s">
        <v>27</v>
      </c>
      <c r="I341" s="16" t="s">
        <v>11</v>
      </c>
      <c r="J341" s="16" t="s">
        <v>343</v>
      </c>
      <c r="K341" s="16" t="s">
        <v>379</v>
      </c>
      <c r="L341" s="16"/>
      <c r="M341" s="16"/>
      <c r="N341" s="23" t="str">
        <f>HYPERLINK("http://slimages.macys.com/is/image/MCY/20700564 ")</f>
        <v xml:space="preserve">http://slimages.macys.com/is/image/MCY/20700564 </v>
      </c>
    </row>
    <row r="342" spans="1:14" x14ac:dyDescent="0.25">
      <c r="A342" s="21" t="s">
        <v>2657</v>
      </c>
      <c r="B342" s="16" t="s">
        <v>2658</v>
      </c>
      <c r="C342" s="17">
        <v>2</v>
      </c>
      <c r="D342" s="22">
        <v>36</v>
      </c>
      <c r="E342" s="22">
        <v>72</v>
      </c>
      <c r="F342" s="17" t="s">
        <v>778</v>
      </c>
      <c r="G342" s="16" t="s">
        <v>44</v>
      </c>
      <c r="H342" s="21" t="s">
        <v>40</v>
      </c>
      <c r="I342" s="16" t="s">
        <v>11</v>
      </c>
      <c r="J342" s="16" t="s">
        <v>343</v>
      </c>
      <c r="K342" s="16" t="s">
        <v>379</v>
      </c>
      <c r="L342" s="16"/>
      <c r="M342" s="16"/>
      <c r="N342" s="23" t="str">
        <f>HYPERLINK("http://slimages.macys.com/is/image/MCY/20121070 ")</f>
        <v xml:space="preserve">http://slimages.macys.com/is/image/MCY/20121070 </v>
      </c>
    </row>
    <row r="343" spans="1:14" x14ac:dyDescent="0.25">
      <c r="A343" s="21" t="s">
        <v>1562</v>
      </c>
      <c r="B343" s="16" t="s">
        <v>1563</v>
      </c>
      <c r="C343" s="17">
        <v>1</v>
      </c>
      <c r="D343" s="22">
        <v>14.3</v>
      </c>
      <c r="E343" s="22">
        <v>14.3</v>
      </c>
      <c r="F343" s="17" t="s">
        <v>1051</v>
      </c>
      <c r="G343" s="16" t="s">
        <v>31</v>
      </c>
      <c r="H343" s="21" t="s">
        <v>55</v>
      </c>
      <c r="I343" s="16" t="s">
        <v>11</v>
      </c>
      <c r="J343" s="16" t="s">
        <v>343</v>
      </c>
      <c r="K343" s="16" t="s">
        <v>379</v>
      </c>
      <c r="L343" s="16"/>
      <c r="M343" s="16"/>
      <c r="N343" s="23" t="str">
        <f>HYPERLINK("http://slimages.macys.com/is/image/MCY/20120785 ")</f>
        <v xml:space="preserve">http://slimages.macys.com/is/image/MCY/20120785 </v>
      </c>
    </row>
    <row r="344" spans="1:14" x14ac:dyDescent="0.25">
      <c r="A344" s="21" t="s">
        <v>1648</v>
      </c>
      <c r="B344" s="16" t="s">
        <v>1563</v>
      </c>
      <c r="C344" s="17">
        <v>2</v>
      </c>
      <c r="D344" s="22">
        <v>14.3</v>
      </c>
      <c r="E344" s="22">
        <v>28.6</v>
      </c>
      <c r="F344" s="17" t="s">
        <v>1056</v>
      </c>
      <c r="G344" s="16" t="s">
        <v>31</v>
      </c>
      <c r="H344" s="21" t="s">
        <v>55</v>
      </c>
      <c r="I344" s="16" t="s">
        <v>11</v>
      </c>
      <c r="J344" s="16" t="s">
        <v>343</v>
      </c>
      <c r="K344" s="16" t="s">
        <v>379</v>
      </c>
      <c r="L344" s="16"/>
      <c r="M344" s="16"/>
      <c r="N344" s="23" t="str">
        <f>HYPERLINK("http://slimages.macys.com/is/image/MCY/20120785 ")</f>
        <v xml:space="preserve">http://slimages.macys.com/is/image/MCY/20120785 </v>
      </c>
    </row>
    <row r="345" spans="1:14" x14ac:dyDescent="0.25">
      <c r="A345" s="21" t="s">
        <v>2651</v>
      </c>
      <c r="B345" s="16" t="s">
        <v>2652</v>
      </c>
      <c r="C345" s="17">
        <v>1</v>
      </c>
      <c r="D345" s="22">
        <v>14.3</v>
      </c>
      <c r="E345" s="22">
        <v>14.3</v>
      </c>
      <c r="F345" s="17" t="s">
        <v>1051</v>
      </c>
      <c r="G345" s="16" t="s">
        <v>31</v>
      </c>
      <c r="H345" s="21" t="s">
        <v>27</v>
      </c>
      <c r="I345" s="16" t="s">
        <v>11</v>
      </c>
      <c r="J345" s="16" t="s">
        <v>343</v>
      </c>
      <c r="K345" s="16" t="s">
        <v>379</v>
      </c>
      <c r="L345" s="16"/>
      <c r="M345" s="16"/>
      <c r="N345" s="23" t="str">
        <f>HYPERLINK("http://slimages.macys.com/is/image/MCY/20120785 ")</f>
        <v xml:space="preserve">http://slimages.macys.com/is/image/MCY/20120785 </v>
      </c>
    </row>
    <row r="346" spans="1:14" x14ac:dyDescent="0.25">
      <c r="A346" s="21" t="s">
        <v>1639</v>
      </c>
      <c r="B346" s="16" t="s">
        <v>1640</v>
      </c>
      <c r="C346" s="17">
        <v>1</v>
      </c>
      <c r="D346" s="22">
        <v>14.3</v>
      </c>
      <c r="E346" s="22">
        <v>14.3</v>
      </c>
      <c r="F346" s="17" t="s">
        <v>1051</v>
      </c>
      <c r="G346" s="16" t="s">
        <v>82</v>
      </c>
      <c r="H346" s="21" t="s">
        <v>55</v>
      </c>
      <c r="I346" s="16" t="s">
        <v>11</v>
      </c>
      <c r="J346" s="16" t="s">
        <v>343</v>
      </c>
      <c r="K346" s="16" t="s">
        <v>379</v>
      </c>
      <c r="L346" s="16"/>
      <c r="M346" s="16"/>
      <c r="N346" s="23" t="str">
        <f>HYPERLINK("http://slimages.macys.com/is/image/MCY/20120785 ")</f>
        <v xml:space="preserve">http://slimages.macys.com/is/image/MCY/20120785 </v>
      </c>
    </row>
    <row r="347" spans="1:14" x14ac:dyDescent="0.25">
      <c r="A347" s="21" t="s">
        <v>2649</v>
      </c>
      <c r="B347" s="16" t="s">
        <v>2650</v>
      </c>
      <c r="C347" s="17">
        <v>1</v>
      </c>
      <c r="D347" s="22">
        <v>14.3</v>
      </c>
      <c r="E347" s="22">
        <v>14.3</v>
      </c>
      <c r="F347" s="17" t="s">
        <v>1051</v>
      </c>
      <c r="G347" s="16" t="s">
        <v>62</v>
      </c>
      <c r="H347" s="21" t="s">
        <v>27</v>
      </c>
      <c r="I347" s="16" t="s">
        <v>11</v>
      </c>
      <c r="J347" s="16" t="s">
        <v>343</v>
      </c>
      <c r="K347" s="16" t="s">
        <v>379</v>
      </c>
      <c r="L347" s="16"/>
      <c r="M347" s="16"/>
      <c r="N347" s="23" t="str">
        <f>HYPERLINK("http://slimages.macys.com/is/image/MCY/20120785 ")</f>
        <v xml:space="preserve">http://slimages.macys.com/is/image/MCY/20120785 </v>
      </c>
    </row>
    <row r="348" spans="1:14" x14ac:dyDescent="0.25">
      <c r="A348" s="21" t="s">
        <v>2474</v>
      </c>
      <c r="B348" s="16" t="s">
        <v>2475</v>
      </c>
      <c r="C348" s="17">
        <v>1</v>
      </c>
      <c r="D348" s="22">
        <v>14.99</v>
      </c>
      <c r="E348" s="22">
        <v>14.99</v>
      </c>
      <c r="F348" s="17" t="s">
        <v>336</v>
      </c>
      <c r="G348" s="16" t="s">
        <v>62</v>
      </c>
      <c r="H348" s="21" t="s">
        <v>47</v>
      </c>
      <c r="I348" s="16" t="s">
        <v>11</v>
      </c>
      <c r="J348" s="16" t="s">
        <v>266</v>
      </c>
      <c r="K348" s="16" t="s">
        <v>267</v>
      </c>
      <c r="L348" s="16"/>
      <c r="M348" s="16"/>
      <c r="N348" s="23" t="str">
        <f>HYPERLINK("http://slimages.macys.com/is/image/MCY/18533203 ")</f>
        <v xml:space="preserve">http://slimages.macys.com/is/image/MCY/18533203 </v>
      </c>
    </row>
    <row r="349" spans="1:14" x14ac:dyDescent="0.25">
      <c r="A349" s="21" t="s">
        <v>1609</v>
      </c>
      <c r="B349" s="16" t="s">
        <v>1610</v>
      </c>
      <c r="C349" s="17">
        <v>1</v>
      </c>
      <c r="D349" s="22">
        <v>14.99</v>
      </c>
      <c r="E349" s="22">
        <v>14.99</v>
      </c>
      <c r="F349" s="17" t="s">
        <v>334</v>
      </c>
      <c r="G349" s="16" t="s">
        <v>86</v>
      </c>
      <c r="H349" s="21" t="s">
        <v>47</v>
      </c>
      <c r="I349" s="16" t="s">
        <v>11</v>
      </c>
      <c r="J349" s="16" t="s">
        <v>266</v>
      </c>
      <c r="K349" s="16" t="s">
        <v>267</v>
      </c>
      <c r="L349" s="16"/>
      <c r="M349" s="16"/>
      <c r="N349" s="23" t="str">
        <f>HYPERLINK("http://slimages.macys.com/is/image/MCY/20042359 ")</f>
        <v xml:space="preserve">http://slimages.macys.com/is/image/MCY/20042359 </v>
      </c>
    </row>
    <row r="350" spans="1:14" x14ac:dyDescent="0.25">
      <c r="A350" s="21" t="s">
        <v>2464</v>
      </c>
      <c r="B350" s="16" t="s">
        <v>2465</v>
      </c>
      <c r="C350" s="17">
        <v>2</v>
      </c>
      <c r="D350" s="22">
        <v>19.989999999999998</v>
      </c>
      <c r="E350" s="22">
        <v>39.979999999999997</v>
      </c>
      <c r="F350" s="17">
        <v>100050074</v>
      </c>
      <c r="G350" s="16" t="s">
        <v>78</v>
      </c>
      <c r="H350" s="21" t="s">
        <v>87</v>
      </c>
      <c r="I350" s="16" t="s">
        <v>11</v>
      </c>
      <c r="J350" s="16" t="s">
        <v>266</v>
      </c>
      <c r="K350" s="16" t="s">
        <v>333</v>
      </c>
      <c r="L350" s="16" t="s">
        <v>111</v>
      </c>
      <c r="M350" s="16" t="s">
        <v>303</v>
      </c>
      <c r="N350" s="23" t="str">
        <f>HYPERLINK("http://slimages.macys.com/is/image/MCY/11456547 ")</f>
        <v xml:space="preserve">http://slimages.macys.com/is/image/MCY/11456547 </v>
      </c>
    </row>
    <row r="351" spans="1:14" x14ac:dyDescent="0.25">
      <c r="A351" s="21" t="s">
        <v>2479</v>
      </c>
      <c r="B351" s="16" t="s">
        <v>2480</v>
      </c>
      <c r="C351" s="17">
        <v>1</v>
      </c>
      <c r="D351" s="22">
        <v>14.99</v>
      </c>
      <c r="E351" s="22">
        <v>14.99</v>
      </c>
      <c r="F351" s="17" t="s">
        <v>1241</v>
      </c>
      <c r="G351" s="16" t="s">
        <v>37</v>
      </c>
      <c r="H351" s="21" t="s">
        <v>27</v>
      </c>
      <c r="I351" s="16" t="s">
        <v>11</v>
      </c>
      <c r="J351" s="16" t="s">
        <v>266</v>
      </c>
      <c r="K351" s="16" t="s">
        <v>267</v>
      </c>
      <c r="L351" s="16"/>
      <c r="M351" s="16"/>
      <c r="N351" s="23" t="str">
        <f>HYPERLINK("http://slimages.macys.com/is/image/MCY/19287189 ")</f>
        <v xml:space="preserve">http://slimages.macys.com/is/image/MCY/19287189 </v>
      </c>
    </row>
    <row r="352" spans="1:14" x14ac:dyDescent="0.25">
      <c r="A352" s="21" t="s">
        <v>2683</v>
      </c>
      <c r="B352" s="16" t="s">
        <v>2684</v>
      </c>
      <c r="C352" s="17">
        <v>1</v>
      </c>
      <c r="D352" s="22">
        <v>5.6</v>
      </c>
      <c r="E352" s="22">
        <v>5.6</v>
      </c>
      <c r="F352" s="17">
        <v>100131482</v>
      </c>
      <c r="G352" s="16" t="s">
        <v>78</v>
      </c>
      <c r="H352" s="21" t="s">
        <v>87</v>
      </c>
      <c r="I352" s="16" t="s">
        <v>11</v>
      </c>
      <c r="J352" s="16" t="s">
        <v>457</v>
      </c>
      <c r="K352" s="16" t="s">
        <v>459</v>
      </c>
      <c r="L352" s="16"/>
      <c r="M352" s="16"/>
      <c r="N352" s="23" t="str">
        <f>HYPERLINK("http://slimages.macys.com/is/image/MCY/19787468 ")</f>
        <v xml:space="preserve">http://slimages.macys.com/is/image/MCY/19787468 </v>
      </c>
    </row>
    <row r="353" spans="1:14" x14ac:dyDescent="0.25">
      <c r="A353" s="21" t="s">
        <v>1091</v>
      </c>
      <c r="B353" s="16" t="s">
        <v>1092</v>
      </c>
      <c r="C353" s="17">
        <v>1</v>
      </c>
      <c r="D353" s="22">
        <v>5.6</v>
      </c>
      <c r="E353" s="22">
        <v>5.6</v>
      </c>
      <c r="F353" s="17">
        <v>100131482</v>
      </c>
      <c r="G353" s="16" t="s">
        <v>78</v>
      </c>
      <c r="H353" s="21"/>
      <c r="I353" s="16" t="s">
        <v>11</v>
      </c>
      <c r="J353" s="16" t="s">
        <v>457</v>
      </c>
      <c r="K353" s="16" t="s">
        <v>459</v>
      </c>
      <c r="L353" s="16"/>
      <c r="M353" s="16"/>
      <c r="N353" s="23" t="str">
        <f>HYPERLINK("http://slimages.macys.com/is/image/MCY/19787468 ")</f>
        <v xml:space="preserve">http://slimages.macys.com/is/image/MCY/19787468 </v>
      </c>
    </row>
    <row r="354" spans="1:14" x14ac:dyDescent="0.25">
      <c r="A354" s="21" t="s">
        <v>2385</v>
      </c>
      <c r="B354" s="16" t="s">
        <v>2386</v>
      </c>
      <c r="C354" s="17">
        <v>1</v>
      </c>
      <c r="D354" s="22">
        <v>32.99</v>
      </c>
      <c r="E354" s="22">
        <v>32.99</v>
      </c>
      <c r="F354" s="17" t="s">
        <v>1448</v>
      </c>
      <c r="G354" s="16" t="s">
        <v>174</v>
      </c>
      <c r="H354" s="21" t="s">
        <v>40</v>
      </c>
      <c r="I354" s="16" t="s">
        <v>11</v>
      </c>
      <c r="J354" s="16" t="s">
        <v>266</v>
      </c>
      <c r="K354" s="16" t="s">
        <v>267</v>
      </c>
      <c r="L354" s="16"/>
      <c r="M354" s="16"/>
      <c r="N354" s="23" t="str">
        <f>HYPERLINK("http://slimages.macys.com/is/image/MCY/19287187 ")</f>
        <v xml:space="preserve">http://slimages.macys.com/is/image/MCY/19287187 </v>
      </c>
    </row>
    <row r="355" spans="1:14" x14ac:dyDescent="0.25">
      <c r="A355" s="21" t="s">
        <v>2428</v>
      </c>
      <c r="B355" s="16" t="s">
        <v>2429</v>
      </c>
      <c r="C355" s="17">
        <v>1</v>
      </c>
      <c r="D355" s="22">
        <v>16.989999999999998</v>
      </c>
      <c r="E355" s="22">
        <v>16.989999999999998</v>
      </c>
      <c r="F355" s="17" t="s">
        <v>2430</v>
      </c>
      <c r="G355" s="16" t="s">
        <v>31</v>
      </c>
      <c r="H355" s="21" t="s">
        <v>87</v>
      </c>
      <c r="I355" s="16" t="s">
        <v>11</v>
      </c>
      <c r="J355" s="16" t="s">
        <v>266</v>
      </c>
      <c r="K355" s="16" t="s">
        <v>267</v>
      </c>
      <c r="L355" s="16"/>
      <c r="M355" s="16"/>
      <c r="N355" s="23" t="str">
        <f>HYPERLINK("http://slimages.macys.com/is/image/MCY/19849974 ")</f>
        <v xml:space="preserve">http://slimages.macys.com/is/image/MCY/19849974 </v>
      </c>
    </row>
    <row r="356" spans="1:14" x14ac:dyDescent="0.25">
      <c r="A356" s="21" t="s">
        <v>2707</v>
      </c>
      <c r="B356" s="16" t="s">
        <v>2708</v>
      </c>
      <c r="C356" s="17">
        <v>1</v>
      </c>
      <c r="D356" s="22">
        <v>29.99</v>
      </c>
      <c r="E356" s="22">
        <v>29.99</v>
      </c>
      <c r="F356" s="17">
        <v>100133788</v>
      </c>
      <c r="G356" s="16" t="s">
        <v>86</v>
      </c>
      <c r="H356" s="21"/>
      <c r="I356" s="16" t="s">
        <v>11</v>
      </c>
      <c r="J356" s="16" t="s">
        <v>2698</v>
      </c>
      <c r="K356" s="16" t="s">
        <v>267</v>
      </c>
      <c r="L356" s="16"/>
      <c r="M356" s="16"/>
      <c r="N356" s="23" t="str">
        <f>HYPERLINK("http://slimages.macys.com/is/image/MCY/19331498 ")</f>
        <v xml:space="preserve">http://slimages.macys.com/is/image/MCY/19331498 </v>
      </c>
    </row>
    <row r="357" spans="1:14" x14ac:dyDescent="0.25">
      <c r="A357" s="21" t="s">
        <v>2699</v>
      </c>
      <c r="B357" s="16" t="s">
        <v>2700</v>
      </c>
      <c r="C357" s="17">
        <v>1</v>
      </c>
      <c r="D357" s="22">
        <v>29.99</v>
      </c>
      <c r="E357" s="22">
        <v>29.99</v>
      </c>
      <c r="F357" s="17">
        <v>100133788</v>
      </c>
      <c r="G357" s="16" t="s">
        <v>86</v>
      </c>
      <c r="H357" s="21" t="s">
        <v>32</v>
      </c>
      <c r="I357" s="16" t="s">
        <v>11</v>
      </c>
      <c r="J357" s="16" t="s">
        <v>2698</v>
      </c>
      <c r="K357" s="16" t="s">
        <v>267</v>
      </c>
      <c r="L357" s="16"/>
      <c r="M357" s="16"/>
      <c r="N357" s="23" t="str">
        <f>HYPERLINK("http://slimages.macys.com/is/image/MCY/19331498 ")</f>
        <v xml:space="preserve">http://slimages.macys.com/is/image/MCY/19331498 </v>
      </c>
    </row>
    <row r="358" spans="1:14" x14ac:dyDescent="0.25">
      <c r="A358" s="21" t="s">
        <v>2696</v>
      </c>
      <c r="B358" s="16" t="s">
        <v>2697</v>
      </c>
      <c r="C358" s="17">
        <v>1</v>
      </c>
      <c r="D358" s="22">
        <v>29.99</v>
      </c>
      <c r="E358" s="22">
        <v>29.99</v>
      </c>
      <c r="F358" s="17">
        <v>100133788</v>
      </c>
      <c r="G358" s="16" t="s">
        <v>86</v>
      </c>
      <c r="H358" s="21" t="s">
        <v>40</v>
      </c>
      <c r="I358" s="16" t="s">
        <v>11</v>
      </c>
      <c r="J358" s="16" t="s">
        <v>2698</v>
      </c>
      <c r="K358" s="16" t="s">
        <v>267</v>
      </c>
      <c r="L358" s="16"/>
      <c r="M358" s="16"/>
      <c r="N358" s="23" t="str">
        <f>HYPERLINK("http://slimages.macys.com/is/image/MCY/19331498 ")</f>
        <v xml:space="preserve">http://slimages.macys.com/is/image/MCY/19331498 </v>
      </c>
    </row>
    <row r="359" spans="1:14" x14ac:dyDescent="0.25">
      <c r="A359" s="21" t="s">
        <v>2705</v>
      </c>
      <c r="B359" s="16" t="s">
        <v>2706</v>
      </c>
      <c r="C359" s="17">
        <v>3</v>
      </c>
      <c r="D359" s="22">
        <v>26.11</v>
      </c>
      <c r="E359" s="22">
        <v>78.33</v>
      </c>
      <c r="F359" s="17">
        <v>100133788</v>
      </c>
      <c r="G359" s="16" t="s">
        <v>86</v>
      </c>
      <c r="H359" s="21" t="s">
        <v>55</v>
      </c>
      <c r="I359" s="16" t="s">
        <v>11</v>
      </c>
      <c r="J359" s="16" t="s">
        <v>2698</v>
      </c>
      <c r="K359" s="16" t="s">
        <v>267</v>
      </c>
      <c r="L359" s="16"/>
      <c r="M359" s="16"/>
      <c r="N359" s="23" t="str">
        <f>HYPERLINK("http://slimages.macys.com/is/image/MCY/19331498 ")</f>
        <v xml:space="preserve">http://slimages.macys.com/is/image/MCY/19331498 </v>
      </c>
    </row>
    <row r="360" spans="1:14" x14ac:dyDescent="0.25">
      <c r="A360" s="21" t="s">
        <v>2701</v>
      </c>
      <c r="B360" s="16" t="s">
        <v>2702</v>
      </c>
      <c r="C360" s="17">
        <v>1</v>
      </c>
      <c r="D360" s="22">
        <v>29.99</v>
      </c>
      <c r="E360" s="22">
        <v>29.99</v>
      </c>
      <c r="F360" s="17">
        <v>100133788</v>
      </c>
      <c r="G360" s="16" t="s">
        <v>86</v>
      </c>
      <c r="H360" s="21" t="s">
        <v>47</v>
      </c>
      <c r="I360" s="16" t="s">
        <v>11</v>
      </c>
      <c r="J360" s="16" t="s">
        <v>2698</v>
      </c>
      <c r="K360" s="16" t="s">
        <v>267</v>
      </c>
      <c r="L360" s="16"/>
      <c r="M360" s="16"/>
      <c r="N360" s="23" t="str">
        <f>HYPERLINK("http://slimages.macys.com/is/image/MCY/19331498 ")</f>
        <v xml:space="preserve">http://slimages.macys.com/is/image/MCY/19331498 </v>
      </c>
    </row>
    <row r="361" spans="1:14" x14ac:dyDescent="0.25">
      <c r="A361" s="21" t="s">
        <v>2703</v>
      </c>
      <c r="B361" s="16" t="s">
        <v>2704</v>
      </c>
      <c r="C361" s="17">
        <v>1</v>
      </c>
      <c r="D361" s="22">
        <v>29.99</v>
      </c>
      <c r="E361" s="22">
        <v>29.99</v>
      </c>
      <c r="F361" s="17">
        <v>100133788</v>
      </c>
      <c r="G361" s="16" t="s">
        <v>86</v>
      </c>
      <c r="H361" s="21" t="s">
        <v>87</v>
      </c>
      <c r="I361" s="16" t="s">
        <v>11</v>
      </c>
      <c r="J361" s="16" t="s">
        <v>2698</v>
      </c>
      <c r="K361" s="16" t="s">
        <v>267</v>
      </c>
      <c r="L361" s="16"/>
      <c r="M361" s="16"/>
      <c r="N361" s="23" t="str">
        <f>HYPERLINK("http://slimages.macys.com/is/image/MCY/19331499 ")</f>
        <v xml:space="preserve">http://slimages.macys.com/is/image/MCY/19331499 </v>
      </c>
    </row>
    <row r="362" spans="1:14" x14ac:dyDescent="0.25">
      <c r="A362" s="21" t="s">
        <v>2441</v>
      </c>
      <c r="B362" s="16" t="s">
        <v>2442</v>
      </c>
      <c r="C362" s="17">
        <v>1</v>
      </c>
      <c r="D362" s="22">
        <v>16.989999999999998</v>
      </c>
      <c r="E362" s="22">
        <v>16.989999999999998</v>
      </c>
      <c r="F362" s="17" t="s">
        <v>2443</v>
      </c>
      <c r="G362" s="16" t="s">
        <v>78</v>
      </c>
      <c r="H362" s="21" t="s">
        <v>32</v>
      </c>
      <c r="I362" s="16" t="s">
        <v>11</v>
      </c>
      <c r="J362" s="16" t="s">
        <v>266</v>
      </c>
      <c r="K362" s="16" t="s">
        <v>267</v>
      </c>
      <c r="L362" s="16"/>
      <c r="M362" s="16"/>
      <c r="N362" s="23" t="str">
        <f>HYPERLINK("http://slimages.macys.com/is/image/MCY/19638966 ")</f>
        <v xml:space="preserve">http://slimages.macys.com/is/image/MCY/19638966 </v>
      </c>
    </row>
    <row r="363" spans="1:14" x14ac:dyDescent="0.25">
      <c r="A363" s="21" t="s">
        <v>2377</v>
      </c>
      <c r="B363" s="16" t="s">
        <v>2378</v>
      </c>
      <c r="C363" s="17">
        <v>1</v>
      </c>
      <c r="D363" s="22">
        <v>37.99</v>
      </c>
      <c r="E363" s="22">
        <v>37.99</v>
      </c>
      <c r="F363" s="17" t="s">
        <v>738</v>
      </c>
      <c r="G363" s="16" t="s">
        <v>86</v>
      </c>
      <c r="H363" s="21" t="s">
        <v>87</v>
      </c>
      <c r="I363" s="16" t="s">
        <v>11</v>
      </c>
      <c r="J363" s="16" t="s">
        <v>266</v>
      </c>
      <c r="K363" s="16" t="s">
        <v>267</v>
      </c>
      <c r="L363" s="16"/>
      <c r="M363" s="16"/>
      <c r="N363" s="23" t="str">
        <f>HYPERLINK("http://slimages.macys.com/is/image/MCY/1061179 ")</f>
        <v xml:space="preserve">http://slimages.macys.com/is/image/MCY/1061179 </v>
      </c>
    </row>
    <row r="364" spans="1:14" x14ac:dyDescent="0.25">
      <c r="A364" s="21" t="s">
        <v>736</v>
      </c>
      <c r="B364" s="16" t="s">
        <v>737</v>
      </c>
      <c r="C364" s="17">
        <v>1</v>
      </c>
      <c r="D364" s="22">
        <v>37.99</v>
      </c>
      <c r="E364" s="22">
        <v>37.99</v>
      </c>
      <c r="F364" s="17" t="s">
        <v>738</v>
      </c>
      <c r="G364" s="16" t="s">
        <v>78</v>
      </c>
      <c r="H364" s="21" t="s">
        <v>32</v>
      </c>
      <c r="I364" s="16" t="s">
        <v>11</v>
      </c>
      <c r="J364" s="16" t="s">
        <v>266</v>
      </c>
      <c r="K364" s="16" t="s">
        <v>267</v>
      </c>
      <c r="L364" s="16"/>
      <c r="M364" s="16"/>
      <c r="N364" s="23" t="str">
        <f>HYPERLINK("http://slimages.macys.com/is/image/MCY/20226359 ")</f>
        <v xml:space="preserve">http://slimages.macys.com/is/image/MCY/20226359 </v>
      </c>
    </row>
    <row r="365" spans="1:14" x14ac:dyDescent="0.25">
      <c r="A365" s="21" t="s">
        <v>1897</v>
      </c>
      <c r="B365" s="16" t="s">
        <v>1898</v>
      </c>
      <c r="C365" s="17">
        <v>1</v>
      </c>
      <c r="D365" s="22">
        <v>26.11</v>
      </c>
      <c r="E365" s="22">
        <v>26.11</v>
      </c>
      <c r="F365" s="17" t="s">
        <v>738</v>
      </c>
      <c r="G365" s="16" t="s">
        <v>78</v>
      </c>
      <c r="H365" s="21" t="s">
        <v>40</v>
      </c>
      <c r="I365" s="16" t="s">
        <v>11</v>
      </c>
      <c r="J365" s="16" t="s">
        <v>266</v>
      </c>
      <c r="K365" s="16" t="s">
        <v>267</v>
      </c>
      <c r="L365" s="16"/>
      <c r="M365" s="16"/>
      <c r="N365" s="23" t="str">
        <f>HYPERLINK("http://slimages.macys.com/is/image/MCY/1061179 ")</f>
        <v xml:space="preserve">http://slimages.macys.com/is/image/MCY/1061179 </v>
      </c>
    </row>
    <row r="366" spans="1:14" x14ac:dyDescent="0.25">
      <c r="A366" s="21" t="s">
        <v>2375</v>
      </c>
      <c r="B366" s="16" t="s">
        <v>2376</v>
      </c>
      <c r="C366" s="17">
        <v>1</v>
      </c>
      <c r="D366" s="22">
        <v>37.99</v>
      </c>
      <c r="E366" s="22">
        <v>37.99</v>
      </c>
      <c r="F366" s="17" t="s">
        <v>738</v>
      </c>
      <c r="G366" s="16" t="s">
        <v>78</v>
      </c>
      <c r="H366" s="21" t="s">
        <v>47</v>
      </c>
      <c r="I366" s="16" t="s">
        <v>11</v>
      </c>
      <c r="J366" s="16" t="s">
        <v>266</v>
      </c>
      <c r="K366" s="16" t="s">
        <v>267</v>
      </c>
      <c r="L366" s="16"/>
      <c r="M366" s="16"/>
      <c r="N366" s="23" t="str">
        <f>HYPERLINK("http://slimages.macys.com/is/image/MCY/1061179 ")</f>
        <v xml:space="preserve">http://slimages.macys.com/is/image/MCY/1061179 </v>
      </c>
    </row>
    <row r="367" spans="1:14" x14ac:dyDescent="0.25">
      <c r="A367" s="21" t="s">
        <v>1680</v>
      </c>
      <c r="B367" s="16" t="s">
        <v>2367</v>
      </c>
      <c r="C367" s="17">
        <v>1</v>
      </c>
      <c r="D367" s="22">
        <v>37.99</v>
      </c>
      <c r="E367" s="22">
        <v>37.99</v>
      </c>
      <c r="F367" s="17" t="s">
        <v>1000</v>
      </c>
      <c r="G367" s="16" t="s">
        <v>104</v>
      </c>
      <c r="H367" s="21" t="s">
        <v>40</v>
      </c>
      <c r="I367" s="16" t="s">
        <v>11</v>
      </c>
      <c r="J367" s="16" t="s">
        <v>266</v>
      </c>
      <c r="K367" s="16" t="s">
        <v>267</v>
      </c>
      <c r="L367" s="16"/>
      <c r="M367" s="16"/>
      <c r="N367" s="23" t="str">
        <f>HYPERLINK("http://slimages.macys.com/is/image/MCY/19714752 ")</f>
        <v xml:space="preserve">http://slimages.macys.com/is/image/MCY/19714752 </v>
      </c>
    </row>
    <row r="368" spans="1:14" x14ac:dyDescent="0.25">
      <c r="A368" s="21" t="s">
        <v>2365</v>
      </c>
      <c r="B368" s="16" t="s">
        <v>2366</v>
      </c>
      <c r="C368" s="17">
        <v>2</v>
      </c>
      <c r="D368" s="22">
        <v>37.99</v>
      </c>
      <c r="E368" s="22">
        <v>75.98</v>
      </c>
      <c r="F368" s="17" t="s">
        <v>1000</v>
      </c>
      <c r="G368" s="16" t="s">
        <v>104</v>
      </c>
      <c r="H368" s="21" t="s">
        <v>87</v>
      </c>
      <c r="I368" s="16" t="s">
        <v>11</v>
      </c>
      <c r="J368" s="16" t="s">
        <v>266</v>
      </c>
      <c r="K368" s="16" t="s">
        <v>267</v>
      </c>
      <c r="L368" s="16"/>
      <c r="M368" s="16"/>
      <c r="N368" s="23" t="str">
        <f>HYPERLINK("http://slimages.macys.com/is/image/MCY/19714752 ")</f>
        <v xml:space="preserve">http://slimages.macys.com/is/image/MCY/19714752 </v>
      </c>
    </row>
    <row r="369" spans="1:14" x14ac:dyDescent="0.25">
      <c r="A369" s="21" t="s">
        <v>2368</v>
      </c>
      <c r="B369" s="16" t="s">
        <v>2369</v>
      </c>
      <c r="C369" s="17">
        <v>1</v>
      </c>
      <c r="D369" s="22">
        <v>37.99</v>
      </c>
      <c r="E369" s="22">
        <v>37.99</v>
      </c>
      <c r="F369" s="17" t="s">
        <v>2370</v>
      </c>
      <c r="G369" s="16" t="s">
        <v>104</v>
      </c>
      <c r="H369" s="21" t="s">
        <v>40</v>
      </c>
      <c r="I369" s="16" t="s">
        <v>11</v>
      </c>
      <c r="J369" s="16" t="s">
        <v>266</v>
      </c>
      <c r="K369" s="16" t="s">
        <v>267</v>
      </c>
      <c r="L369" s="16"/>
      <c r="M369" s="16"/>
      <c r="N369" s="23" t="str">
        <f>HYPERLINK("http://slimages.macys.com/is/image/MCY/19714752 ")</f>
        <v xml:space="preserve">http://slimages.macys.com/is/image/MCY/19714752 </v>
      </c>
    </row>
    <row r="370" spans="1:14" x14ac:dyDescent="0.25">
      <c r="A370" s="21" t="s">
        <v>2371</v>
      </c>
      <c r="B370" s="16" t="s">
        <v>2372</v>
      </c>
      <c r="C370" s="17">
        <v>1</v>
      </c>
      <c r="D370" s="22">
        <v>37.99</v>
      </c>
      <c r="E370" s="22">
        <v>37.99</v>
      </c>
      <c r="F370" s="17" t="s">
        <v>1599</v>
      </c>
      <c r="G370" s="16" t="s">
        <v>270</v>
      </c>
      <c r="H370" s="21" t="s">
        <v>32</v>
      </c>
      <c r="I370" s="16" t="s">
        <v>11</v>
      </c>
      <c r="J370" s="16" t="s">
        <v>266</v>
      </c>
      <c r="K370" s="16" t="s">
        <v>267</v>
      </c>
      <c r="L370" s="16"/>
      <c r="M370" s="16"/>
      <c r="N370" s="23" t="str">
        <f>HYPERLINK("http://slimages.macys.com/is/image/MCY/21080160 ")</f>
        <v xml:space="preserve">http://slimages.macys.com/is/image/MCY/21080160 </v>
      </c>
    </row>
    <row r="371" spans="1:14" x14ac:dyDescent="0.25">
      <c r="A371" s="21" t="s">
        <v>2373</v>
      </c>
      <c r="B371" s="16" t="s">
        <v>2374</v>
      </c>
      <c r="C371" s="17">
        <v>1</v>
      </c>
      <c r="D371" s="22">
        <v>37.99</v>
      </c>
      <c r="E371" s="22">
        <v>37.99</v>
      </c>
      <c r="F371" s="17" t="s">
        <v>1599</v>
      </c>
      <c r="G371" s="16" t="s">
        <v>270</v>
      </c>
      <c r="H371" s="21" t="s">
        <v>40</v>
      </c>
      <c r="I371" s="16" t="s">
        <v>11</v>
      </c>
      <c r="J371" s="16" t="s">
        <v>266</v>
      </c>
      <c r="K371" s="16" t="s">
        <v>267</v>
      </c>
      <c r="L371" s="16"/>
      <c r="M371" s="16"/>
      <c r="N371" s="23" t="str">
        <f>HYPERLINK("http://slimages.macys.com/is/image/MCY/21080160 ")</f>
        <v xml:space="preserve">http://slimages.macys.com/is/image/MCY/21080160 </v>
      </c>
    </row>
    <row r="372" spans="1:14" x14ac:dyDescent="0.25">
      <c r="A372" s="21" t="s">
        <v>1597</v>
      </c>
      <c r="B372" s="16" t="s">
        <v>1598</v>
      </c>
      <c r="C372" s="17">
        <v>1</v>
      </c>
      <c r="D372" s="22">
        <v>37.99</v>
      </c>
      <c r="E372" s="22">
        <v>37.99</v>
      </c>
      <c r="F372" s="17" t="s">
        <v>1599</v>
      </c>
      <c r="G372" s="16" t="s">
        <v>270</v>
      </c>
      <c r="H372" s="21" t="s">
        <v>55</v>
      </c>
      <c r="I372" s="16" t="s">
        <v>11</v>
      </c>
      <c r="J372" s="16" t="s">
        <v>266</v>
      </c>
      <c r="K372" s="16" t="s">
        <v>267</v>
      </c>
      <c r="L372" s="16"/>
      <c r="M372" s="16"/>
      <c r="N372" s="23" t="str">
        <f>HYPERLINK("http://slimages.macys.com/is/image/MCY/19714752 ")</f>
        <v xml:space="preserve">http://slimages.macys.com/is/image/MCY/19714752 </v>
      </c>
    </row>
    <row r="373" spans="1:14" x14ac:dyDescent="0.25">
      <c r="A373" s="21" t="s">
        <v>1442</v>
      </c>
      <c r="B373" s="16" t="s">
        <v>1443</v>
      </c>
      <c r="C373" s="17">
        <v>1</v>
      </c>
      <c r="D373" s="22">
        <v>27.99</v>
      </c>
      <c r="E373" s="22">
        <v>27.99</v>
      </c>
      <c r="F373" s="17" t="s">
        <v>1001</v>
      </c>
      <c r="G373" s="16" t="s">
        <v>104</v>
      </c>
      <c r="H373" s="21" t="s">
        <v>87</v>
      </c>
      <c r="I373" s="16" t="s">
        <v>11</v>
      </c>
      <c r="J373" s="16" t="s">
        <v>266</v>
      </c>
      <c r="K373" s="16" t="s">
        <v>267</v>
      </c>
      <c r="L373" s="16"/>
      <c r="M373" s="16"/>
      <c r="N373" s="23" t="str">
        <f>HYPERLINK("http://slimages.macys.com/is/image/MCY/20128837 ")</f>
        <v xml:space="preserve">http://slimages.macys.com/is/image/MCY/20128837 </v>
      </c>
    </row>
    <row r="374" spans="1:14" x14ac:dyDescent="0.25">
      <c r="A374" s="21" t="s">
        <v>296</v>
      </c>
      <c r="B374" s="16" t="s">
        <v>297</v>
      </c>
      <c r="C374" s="17">
        <v>2</v>
      </c>
      <c r="D374" s="22">
        <v>27.99</v>
      </c>
      <c r="E374" s="22">
        <v>55.98</v>
      </c>
      <c r="F374" s="17" t="s">
        <v>293</v>
      </c>
      <c r="G374" s="16" t="s">
        <v>86</v>
      </c>
      <c r="H374" s="21" t="s">
        <v>40</v>
      </c>
      <c r="I374" s="16" t="s">
        <v>11</v>
      </c>
      <c r="J374" s="16" t="s">
        <v>266</v>
      </c>
      <c r="K374" s="16" t="s">
        <v>267</v>
      </c>
      <c r="L374" s="16"/>
      <c r="M374" s="16"/>
      <c r="N374" s="23" t="str">
        <f>HYPERLINK("http://slimages.macys.com/is/image/MCY/19287253 ")</f>
        <v xml:space="preserve">http://slimages.macys.com/is/image/MCY/19287253 </v>
      </c>
    </row>
    <row r="375" spans="1:14" x14ac:dyDescent="0.25">
      <c r="A375" s="21" t="s">
        <v>2402</v>
      </c>
      <c r="B375" s="16" t="s">
        <v>2403</v>
      </c>
      <c r="C375" s="17">
        <v>2</v>
      </c>
      <c r="D375" s="22">
        <v>27.99</v>
      </c>
      <c r="E375" s="22">
        <v>55.98</v>
      </c>
      <c r="F375" s="17" t="s">
        <v>293</v>
      </c>
      <c r="G375" s="16" t="s">
        <v>86</v>
      </c>
      <c r="H375" s="21" t="s">
        <v>55</v>
      </c>
      <c r="I375" s="16" t="s">
        <v>11</v>
      </c>
      <c r="J375" s="16" t="s">
        <v>266</v>
      </c>
      <c r="K375" s="16" t="s">
        <v>267</v>
      </c>
      <c r="L375" s="16"/>
      <c r="M375" s="16"/>
      <c r="N375" s="23" t="str">
        <f>HYPERLINK("http://slimages.macys.com/is/image/MCY/19287253 ")</f>
        <v xml:space="preserve">http://slimages.macys.com/is/image/MCY/19287253 </v>
      </c>
    </row>
    <row r="376" spans="1:14" x14ac:dyDescent="0.25">
      <c r="A376" s="21" t="s">
        <v>298</v>
      </c>
      <c r="B376" s="16" t="s">
        <v>299</v>
      </c>
      <c r="C376" s="17">
        <v>1</v>
      </c>
      <c r="D376" s="22">
        <v>27.99</v>
      </c>
      <c r="E376" s="22">
        <v>27.99</v>
      </c>
      <c r="F376" s="17" t="s">
        <v>293</v>
      </c>
      <c r="G376" s="16" t="s">
        <v>86</v>
      </c>
      <c r="H376" s="21" t="s">
        <v>27</v>
      </c>
      <c r="I376" s="16" t="s">
        <v>11</v>
      </c>
      <c r="J376" s="16" t="s">
        <v>266</v>
      </c>
      <c r="K376" s="16" t="s">
        <v>267</v>
      </c>
      <c r="L376" s="16"/>
      <c r="M376" s="16"/>
      <c r="N376" s="23" t="str">
        <f>HYPERLINK("http://slimages.macys.com/is/image/MCY/19287253 ")</f>
        <v xml:space="preserve">http://slimages.macys.com/is/image/MCY/19287253 </v>
      </c>
    </row>
    <row r="377" spans="1:14" x14ac:dyDescent="0.25">
      <c r="A377" s="21" t="s">
        <v>2400</v>
      </c>
      <c r="B377" s="16" t="s">
        <v>2401</v>
      </c>
      <c r="C377" s="17">
        <v>2</v>
      </c>
      <c r="D377" s="22">
        <v>27.99</v>
      </c>
      <c r="E377" s="22">
        <v>55.98</v>
      </c>
      <c r="F377" s="17" t="s">
        <v>293</v>
      </c>
      <c r="G377" s="16" t="s">
        <v>86</v>
      </c>
      <c r="H377" s="21" t="s">
        <v>47</v>
      </c>
      <c r="I377" s="16" t="s">
        <v>11</v>
      </c>
      <c r="J377" s="16" t="s">
        <v>266</v>
      </c>
      <c r="K377" s="16" t="s">
        <v>267</v>
      </c>
      <c r="L377" s="16"/>
      <c r="M377" s="16"/>
      <c r="N377" s="23" t="str">
        <f>HYPERLINK("http://slimages.macys.com/is/image/MCY/19287253 ")</f>
        <v xml:space="preserve">http://slimages.macys.com/is/image/MCY/19287253 </v>
      </c>
    </row>
    <row r="378" spans="1:14" x14ac:dyDescent="0.25">
      <c r="A378" s="21" t="s">
        <v>294</v>
      </c>
      <c r="B378" s="16" t="s">
        <v>295</v>
      </c>
      <c r="C378" s="17">
        <v>2</v>
      </c>
      <c r="D378" s="22">
        <v>27.99</v>
      </c>
      <c r="E378" s="22">
        <v>55.98</v>
      </c>
      <c r="F378" s="17" t="s">
        <v>293</v>
      </c>
      <c r="G378" s="16" t="s">
        <v>86</v>
      </c>
      <c r="H378" s="21" t="s">
        <v>87</v>
      </c>
      <c r="I378" s="16" t="s">
        <v>11</v>
      </c>
      <c r="J378" s="16" t="s">
        <v>266</v>
      </c>
      <c r="K378" s="16" t="s">
        <v>267</v>
      </c>
      <c r="L378" s="16"/>
      <c r="M378" s="16"/>
      <c r="N378" s="23" t="str">
        <f>HYPERLINK("http://slimages.macys.com/is/image/MCY/19287253 ")</f>
        <v xml:space="preserve">http://slimages.macys.com/is/image/MCY/19287253 </v>
      </c>
    </row>
    <row r="379" spans="1:14" x14ac:dyDescent="0.25">
      <c r="A379" s="21" t="s">
        <v>2409</v>
      </c>
      <c r="B379" s="16" t="s">
        <v>2410</v>
      </c>
      <c r="C379" s="17">
        <v>1</v>
      </c>
      <c r="D379" s="22">
        <v>27.99</v>
      </c>
      <c r="E379" s="22">
        <v>27.99</v>
      </c>
      <c r="F379" s="17" t="s">
        <v>2411</v>
      </c>
      <c r="G379" s="16" t="s">
        <v>205</v>
      </c>
      <c r="H379" s="21" t="s">
        <v>40</v>
      </c>
      <c r="I379" s="16" t="s">
        <v>11</v>
      </c>
      <c r="J379" s="16" t="s">
        <v>266</v>
      </c>
      <c r="K379" s="16" t="s">
        <v>267</v>
      </c>
      <c r="L379" s="16"/>
      <c r="M379" s="16"/>
      <c r="N379" s="23" t="str">
        <f>HYPERLINK("http://slimages.macys.com/is/image/MCY/18532426 ")</f>
        <v xml:space="preserve">http://slimages.macys.com/is/image/MCY/18532426 </v>
      </c>
    </row>
    <row r="380" spans="1:14" x14ac:dyDescent="0.25">
      <c r="A380" s="21" t="s">
        <v>2406</v>
      </c>
      <c r="B380" s="16" t="s">
        <v>2407</v>
      </c>
      <c r="C380" s="17">
        <v>1</v>
      </c>
      <c r="D380" s="22">
        <v>27.99</v>
      </c>
      <c r="E380" s="22">
        <v>27.99</v>
      </c>
      <c r="F380" s="17" t="s">
        <v>2408</v>
      </c>
      <c r="G380" s="16" t="s">
        <v>189</v>
      </c>
      <c r="H380" s="21" t="s">
        <v>55</v>
      </c>
      <c r="I380" s="16" t="s">
        <v>11</v>
      </c>
      <c r="J380" s="16" t="s">
        <v>266</v>
      </c>
      <c r="K380" s="16" t="s">
        <v>267</v>
      </c>
      <c r="L380" s="16"/>
      <c r="M380" s="16"/>
      <c r="N380" s="23" t="str">
        <f>HYPERLINK("http://slimages.macys.com/is/image/MCY/20128837 ")</f>
        <v xml:space="preserve">http://slimages.macys.com/is/image/MCY/20128837 </v>
      </c>
    </row>
    <row r="381" spans="1:14" x14ac:dyDescent="0.25">
      <c r="A381" s="21" t="s">
        <v>2351</v>
      </c>
      <c r="B381" s="16" t="s">
        <v>2352</v>
      </c>
      <c r="C381" s="17">
        <v>2</v>
      </c>
      <c r="D381" s="22">
        <v>49.99</v>
      </c>
      <c r="E381" s="22">
        <v>99.98</v>
      </c>
      <c r="F381" s="17" t="s">
        <v>268</v>
      </c>
      <c r="G381" s="16" t="s">
        <v>31</v>
      </c>
      <c r="H381" s="21" t="s">
        <v>32</v>
      </c>
      <c r="I381" s="16" t="s">
        <v>11</v>
      </c>
      <c r="J381" s="16" t="s">
        <v>266</v>
      </c>
      <c r="K381" s="16" t="s">
        <v>267</v>
      </c>
      <c r="L381" s="16"/>
      <c r="M381" s="16"/>
      <c r="N381" s="23" t="str">
        <f>HYPERLINK("http://slimages.macys.com/is/image/MCY/20925610 ")</f>
        <v xml:space="preserve">http://slimages.macys.com/is/image/MCY/20925610 </v>
      </c>
    </row>
    <row r="382" spans="1:14" x14ac:dyDescent="0.25">
      <c r="A382" s="21" t="s">
        <v>288</v>
      </c>
      <c r="B382" s="16" t="s">
        <v>289</v>
      </c>
      <c r="C382" s="17">
        <v>1</v>
      </c>
      <c r="D382" s="22">
        <v>29.99</v>
      </c>
      <c r="E382" s="22">
        <v>29.99</v>
      </c>
      <c r="F382" s="17" t="s">
        <v>290</v>
      </c>
      <c r="G382" s="16" t="s">
        <v>31</v>
      </c>
      <c r="H382" s="21" t="s">
        <v>40</v>
      </c>
      <c r="I382" s="16" t="s">
        <v>11</v>
      </c>
      <c r="J382" s="16" t="s">
        <v>266</v>
      </c>
      <c r="K382" s="16" t="s">
        <v>267</v>
      </c>
      <c r="L382" s="16"/>
      <c r="M382" s="16"/>
      <c r="N382" s="23" t="str">
        <f>HYPERLINK("http://slimages.macys.com/is/image/MCY/19712936 ")</f>
        <v xml:space="preserve">http://slimages.macys.com/is/image/MCY/19712936 </v>
      </c>
    </row>
    <row r="383" spans="1:14" x14ac:dyDescent="0.25">
      <c r="A383" s="21" t="s">
        <v>1227</v>
      </c>
      <c r="B383" s="16" t="s">
        <v>1228</v>
      </c>
      <c r="C383" s="17">
        <v>1</v>
      </c>
      <c r="D383" s="22">
        <v>29.99</v>
      </c>
      <c r="E383" s="22">
        <v>29.99</v>
      </c>
      <c r="F383" s="17" t="s">
        <v>290</v>
      </c>
      <c r="G383" s="16" t="s">
        <v>31</v>
      </c>
      <c r="H383" s="21" t="s">
        <v>55</v>
      </c>
      <c r="I383" s="16" t="s">
        <v>11</v>
      </c>
      <c r="J383" s="16" t="s">
        <v>266</v>
      </c>
      <c r="K383" s="16" t="s">
        <v>267</v>
      </c>
      <c r="L383" s="16"/>
      <c r="M383" s="16"/>
      <c r="N383" s="23" t="str">
        <f>HYPERLINK("http://slimages.macys.com/is/image/MCY/19712936 ")</f>
        <v xml:space="preserve">http://slimages.macys.com/is/image/MCY/19712936 </v>
      </c>
    </row>
    <row r="384" spans="1:14" x14ac:dyDescent="0.25">
      <c r="A384" s="21" t="s">
        <v>2390</v>
      </c>
      <c r="B384" s="16" t="s">
        <v>2391</v>
      </c>
      <c r="C384" s="17">
        <v>1</v>
      </c>
      <c r="D384" s="22">
        <v>29.99</v>
      </c>
      <c r="E384" s="22">
        <v>29.99</v>
      </c>
      <c r="F384" s="17" t="s">
        <v>2392</v>
      </c>
      <c r="G384" s="16" t="s">
        <v>37</v>
      </c>
      <c r="H384" s="21" t="s">
        <v>47</v>
      </c>
      <c r="I384" s="16" t="s">
        <v>11</v>
      </c>
      <c r="J384" s="16" t="s">
        <v>266</v>
      </c>
      <c r="K384" s="16" t="s">
        <v>267</v>
      </c>
      <c r="L384" s="16"/>
      <c r="M384" s="16"/>
      <c r="N384" s="23" t="str">
        <f>HYPERLINK("http://slimages.macys.com/is/image/MCY/19714794 ")</f>
        <v xml:space="preserve">http://slimages.macys.com/is/image/MCY/19714794 </v>
      </c>
    </row>
    <row r="385" spans="1:14" x14ac:dyDescent="0.25">
      <c r="A385" s="21" t="s">
        <v>2395</v>
      </c>
      <c r="B385" s="16" t="s">
        <v>2396</v>
      </c>
      <c r="C385" s="17">
        <v>1</v>
      </c>
      <c r="D385" s="22">
        <v>29.99</v>
      </c>
      <c r="E385" s="22">
        <v>29.99</v>
      </c>
      <c r="F385" s="17" t="s">
        <v>2389</v>
      </c>
      <c r="G385" s="16" t="s">
        <v>270</v>
      </c>
      <c r="H385" s="21" t="s">
        <v>32</v>
      </c>
      <c r="I385" s="16" t="s">
        <v>11</v>
      </c>
      <c r="J385" s="16" t="s">
        <v>266</v>
      </c>
      <c r="K385" s="16" t="s">
        <v>267</v>
      </c>
      <c r="L385" s="16"/>
      <c r="M385" s="16"/>
      <c r="N385" s="23" t="str">
        <f>HYPERLINK("http://slimages.macys.com/is/image/MCY/19714794 ")</f>
        <v xml:space="preserve">http://slimages.macys.com/is/image/MCY/19714794 </v>
      </c>
    </row>
    <row r="386" spans="1:14" x14ac:dyDescent="0.25">
      <c r="A386" s="21" t="s">
        <v>2393</v>
      </c>
      <c r="B386" s="16" t="s">
        <v>2394</v>
      </c>
      <c r="C386" s="17">
        <v>1</v>
      </c>
      <c r="D386" s="22">
        <v>26.11</v>
      </c>
      <c r="E386" s="22">
        <v>26.11</v>
      </c>
      <c r="F386" s="17" t="s">
        <v>2389</v>
      </c>
      <c r="G386" s="16" t="s">
        <v>270</v>
      </c>
      <c r="H386" s="21" t="s">
        <v>47</v>
      </c>
      <c r="I386" s="16" t="s">
        <v>11</v>
      </c>
      <c r="J386" s="16" t="s">
        <v>266</v>
      </c>
      <c r="K386" s="16" t="s">
        <v>267</v>
      </c>
      <c r="L386" s="16"/>
      <c r="M386" s="16"/>
      <c r="N386" s="23" t="str">
        <f>HYPERLINK("http://slimages.macys.com/is/image/MCY/19714794 ")</f>
        <v xml:space="preserve">http://slimages.macys.com/is/image/MCY/19714794 </v>
      </c>
    </row>
    <row r="387" spans="1:14" x14ac:dyDescent="0.25">
      <c r="A387" s="21" t="s">
        <v>2387</v>
      </c>
      <c r="B387" s="16" t="s">
        <v>2388</v>
      </c>
      <c r="C387" s="17">
        <v>1</v>
      </c>
      <c r="D387" s="22">
        <v>29.99</v>
      </c>
      <c r="E387" s="22">
        <v>29.99</v>
      </c>
      <c r="F387" s="17" t="s">
        <v>2389</v>
      </c>
      <c r="G387" s="16" t="s">
        <v>270</v>
      </c>
      <c r="H387" s="21" t="s">
        <v>87</v>
      </c>
      <c r="I387" s="16" t="s">
        <v>11</v>
      </c>
      <c r="J387" s="16" t="s">
        <v>266</v>
      </c>
      <c r="K387" s="16" t="s">
        <v>267</v>
      </c>
      <c r="L387" s="16"/>
      <c r="M387" s="16"/>
      <c r="N387" s="23" t="str">
        <f>HYPERLINK("http://slimages.macys.com/is/image/MCY/19712936 ")</f>
        <v xml:space="preserve">http://slimages.macys.com/is/image/MCY/19712936 </v>
      </c>
    </row>
    <row r="388" spans="1:14" x14ac:dyDescent="0.25">
      <c r="A388" s="21" t="s">
        <v>2417</v>
      </c>
      <c r="B388" s="16" t="s">
        <v>2418</v>
      </c>
      <c r="C388" s="17">
        <v>1</v>
      </c>
      <c r="D388" s="22">
        <v>24.99</v>
      </c>
      <c r="E388" s="22">
        <v>24.99</v>
      </c>
      <c r="F388" s="17" t="s">
        <v>2419</v>
      </c>
      <c r="G388" s="16" t="s">
        <v>78</v>
      </c>
      <c r="H388" s="21" t="s">
        <v>286</v>
      </c>
      <c r="I388" s="16" t="s">
        <v>11</v>
      </c>
      <c r="J388" s="16" t="s">
        <v>266</v>
      </c>
      <c r="K388" s="16" t="s">
        <v>267</v>
      </c>
      <c r="L388" s="16"/>
      <c r="M388" s="16"/>
      <c r="N388" s="23" t="str">
        <f>HYPERLINK("http://slimages.macys.com/is/image/MCY/18652993 ")</f>
        <v xml:space="preserve">http://slimages.macys.com/is/image/MCY/18652993 </v>
      </c>
    </row>
    <row r="389" spans="1:14" x14ac:dyDescent="0.25">
      <c r="A389" s="21" t="s">
        <v>2444</v>
      </c>
      <c r="B389" s="16" t="s">
        <v>2445</v>
      </c>
      <c r="C389" s="17">
        <v>1</v>
      </c>
      <c r="D389" s="22">
        <v>19.989999999999998</v>
      </c>
      <c r="E389" s="22">
        <v>19.989999999999998</v>
      </c>
      <c r="F389" s="17" t="s">
        <v>2446</v>
      </c>
      <c r="G389" s="16" t="s">
        <v>31</v>
      </c>
      <c r="H389" s="21" t="s">
        <v>158</v>
      </c>
      <c r="I389" s="16" t="s">
        <v>11</v>
      </c>
      <c r="J389" s="16" t="s">
        <v>266</v>
      </c>
      <c r="K389" s="16" t="s">
        <v>267</v>
      </c>
      <c r="L389" s="16"/>
      <c r="M389" s="16"/>
      <c r="N389" s="23" t="str">
        <f>HYPERLINK("http://slimages.macys.com/is/image/MCY/19662123 ")</f>
        <v xml:space="preserve">http://slimages.macys.com/is/image/MCY/19662123 </v>
      </c>
    </row>
    <row r="390" spans="1:14" x14ac:dyDescent="0.25">
      <c r="A390" s="21" t="s">
        <v>2414</v>
      </c>
      <c r="B390" s="16" t="s">
        <v>2415</v>
      </c>
      <c r="C390" s="17">
        <v>1</v>
      </c>
      <c r="D390" s="22">
        <v>27.99</v>
      </c>
      <c r="E390" s="22">
        <v>27.99</v>
      </c>
      <c r="F390" s="17" t="s">
        <v>2416</v>
      </c>
      <c r="G390" s="16" t="s">
        <v>83</v>
      </c>
      <c r="H390" s="21" t="s">
        <v>286</v>
      </c>
      <c r="I390" s="16" t="s">
        <v>11</v>
      </c>
      <c r="J390" s="16" t="s">
        <v>266</v>
      </c>
      <c r="K390" s="16" t="s">
        <v>267</v>
      </c>
      <c r="L390" s="16" t="s">
        <v>111</v>
      </c>
      <c r="M390" s="16" t="s">
        <v>303</v>
      </c>
      <c r="N390" s="23" t="str">
        <f>HYPERLINK("http://slimages.macys.com/is/image/MCY/11456446 ")</f>
        <v xml:space="preserve">http://slimages.macys.com/is/image/MCY/11456446 </v>
      </c>
    </row>
    <row r="391" spans="1:14" x14ac:dyDescent="0.25">
      <c r="A391" s="21" t="s">
        <v>2447</v>
      </c>
      <c r="B391" s="16" t="s">
        <v>2448</v>
      </c>
      <c r="C391" s="17">
        <v>1</v>
      </c>
      <c r="D391" s="22">
        <v>16.989999999999998</v>
      </c>
      <c r="E391" s="22">
        <v>16.989999999999998</v>
      </c>
      <c r="F391" s="17" t="s">
        <v>2449</v>
      </c>
      <c r="G391" s="16" t="s">
        <v>31</v>
      </c>
      <c r="H391" s="21" t="s">
        <v>55</v>
      </c>
      <c r="I391" s="16" t="s">
        <v>11</v>
      </c>
      <c r="J391" s="16" t="s">
        <v>266</v>
      </c>
      <c r="K391" s="16" t="s">
        <v>267</v>
      </c>
      <c r="L391" s="16"/>
      <c r="M391" s="16"/>
      <c r="N391" s="23" t="str">
        <f>HYPERLINK("http://slimages.macys.com/is/image/MCY/19662247 ")</f>
        <v xml:space="preserve">http://slimages.macys.com/is/image/MCY/19662247 </v>
      </c>
    </row>
    <row r="392" spans="1:14" x14ac:dyDescent="0.25">
      <c r="A392" s="21" t="s">
        <v>2426</v>
      </c>
      <c r="B392" s="16" t="s">
        <v>2427</v>
      </c>
      <c r="C392" s="17">
        <v>1</v>
      </c>
      <c r="D392" s="22">
        <v>17.989999999999998</v>
      </c>
      <c r="E392" s="22">
        <v>17.989999999999998</v>
      </c>
      <c r="F392" s="17" t="s">
        <v>1215</v>
      </c>
      <c r="G392" s="16" t="s">
        <v>31</v>
      </c>
      <c r="H392" s="21" t="s">
        <v>27</v>
      </c>
      <c r="I392" s="16" t="s">
        <v>11</v>
      </c>
      <c r="J392" s="16" t="s">
        <v>266</v>
      </c>
      <c r="K392" s="16" t="s">
        <v>267</v>
      </c>
      <c r="L392" s="16"/>
      <c r="M392" s="16"/>
      <c r="N392" s="23" t="str">
        <f>HYPERLINK("http://slimages.macys.com/is/image/MCY/19737298 ")</f>
        <v xml:space="preserve">http://slimages.macys.com/is/image/MCY/19737298 </v>
      </c>
    </row>
    <row r="393" spans="1:14" x14ac:dyDescent="0.25">
      <c r="A393" s="21" t="s">
        <v>272</v>
      </c>
      <c r="B393" s="16" t="s">
        <v>273</v>
      </c>
      <c r="C393" s="17">
        <v>2</v>
      </c>
      <c r="D393" s="22">
        <v>39.99</v>
      </c>
      <c r="E393" s="22">
        <v>79.98</v>
      </c>
      <c r="F393" s="17" t="s">
        <v>274</v>
      </c>
      <c r="G393" s="16" t="s">
        <v>62</v>
      </c>
      <c r="H393" s="21" t="s">
        <v>27</v>
      </c>
      <c r="I393" s="16" t="s">
        <v>11</v>
      </c>
      <c r="J393" s="16" t="s">
        <v>266</v>
      </c>
      <c r="K393" s="16" t="s">
        <v>267</v>
      </c>
      <c r="L393" s="16"/>
      <c r="M393" s="16"/>
      <c r="N393" s="23" t="str">
        <f>HYPERLINK("http://slimages.macys.com/is/image/MCY/19422246 ")</f>
        <v xml:space="preserve">http://slimages.macys.com/is/image/MCY/19422246 </v>
      </c>
    </row>
    <row r="394" spans="1:14" x14ac:dyDescent="0.25">
      <c r="A394" s="21" t="s">
        <v>2476</v>
      </c>
      <c r="B394" s="16" t="s">
        <v>2477</v>
      </c>
      <c r="C394" s="17">
        <v>21</v>
      </c>
      <c r="D394" s="22">
        <v>26.11</v>
      </c>
      <c r="E394" s="22">
        <v>548.30999999999995</v>
      </c>
      <c r="F394" s="17">
        <v>100080273</v>
      </c>
      <c r="G394" s="16" t="s">
        <v>31</v>
      </c>
      <c r="H394" s="21" t="s">
        <v>2478</v>
      </c>
      <c r="I394" s="16" t="s">
        <v>11</v>
      </c>
      <c r="J394" s="16" t="s">
        <v>266</v>
      </c>
      <c r="K394" s="16" t="s">
        <v>267</v>
      </c>
      <c r="L394" s="16"/>
      <c r="M394" s="16"/>
      <c r="N394" s="23" t="str">
        <f>HYPERLINK("http://slimages.macys.com/is/image/MCY/15525372 ")</f>
        <v xml:space="preserve">http://slimages.macys.com/is/image/MCY/15525372 </v>
      </c>
    </row>
    <row r="395" spans="1:14" x14ac:dyDescent="0.25">
      <c r="A395" s="21" t="s">
        <v>1022</v>
      </c>
      <c r="B395" s="16" t="s">
        <v>1023</v>
      </c>
      <c r="C395" s="17">
        <v>1</v>
      </c>
      <c r="D395" s="22">
        <v>24.99</v>
      </c>
      <c r="E395" s="22">
        <v>24.99</v>
      </c>
      <c r="F395" s="17" t="s">
        <v>751</v>
      </c>
      <c r="G395" s="16" t="s">
        <v>85</v>
      </c>
      <c r="H395" s="21" t="s">
        <v>40</v>
      </c>
      <c r="I395" s="16" t="s">
        <v>11</v>
      </c>
      <c r="J395" s="16" t="s">
        <v>266</v>
      </c>
      <c r="K395" s="16" t="s">
        <v>267</v>
      </c>
      <c r="L395" s="16"/>
      <c r="M395" s="16"/>
      <c r="N395" s="23" t="str">
        <f>HYPERLINK("http://slimages.macys.com/is/image/MCY/19610910 ")</f>
        <v xml:space="preserve">http://slimages.macys.com/is/image/MCY/19610910 </v>
      </c>
    </row>
    <row r="396" spans="1:14" x14ac:dyDescent="0.25">
      <c r="A396" s="21" t="s">
        <v>756</v>
      </c>
      <c r="B396" s="16" t="s">
        <v>757</v>
      </c>
      <c r="C396" s="17">
        <v>1</v>
      </c>
      <c r="D396" s="22">
        <v>26.11</v>
      </c>
      <c r="E396" s="22">
        <v>26.11</v>
      </c>
      <c r="F396" s="17" t="s">
        <v>751</v>
      </c>
      <c r="G396" s="16" t="s">
        <v>85</v>
      </c>
      <c r="H396" s="21" t="s">
        <v>55</v>
      </c>
      <c r="I396" s="16" t="s">
        <v>11</v>
      </c>
      <c r="J396" s="16" t="s">
        <v>266</v>
      </c>
      <c r="K396" s="16" t="s">
        <v>267</v>
      </c>
      <c r="L396" s="16"/>
      <c r="M396" s="16"/>
      <c r="N396" s="23" t="str">
        <f>HYPERLINK("http://slimages.macys.com/is/image/MCY/19610914 ")</f>
        <v xml:space="preserve">http://slimages.macys.com/is/image/MCY/19610914 </v>
      </c>
    </row>
    <row r="397" spans="1:14" x14ac:dyDescent="0.25">
      <c r="A397" s="21" t="s">
        <v>749</v>
      </c>
      <c r="B397" s="16" t="s">
        <v>750</v>
      </c>
      <c r="C397" s="17">
        <v>1</v>
      </c>
      <c r="D397" s="22">
        <v>24.99</v>
      </c>
      <c r="E397" s="22">
        <v>24.99</v>
      </c>
      <c r="F397" s="17" t="s">
        <v>751</v>
      </c>
      <c r="G397" s="16" t="s">
        <v>85</v>
      </c>
      <c r="H397" s="21" t="s">
        <v>87</v>
      </c>
      <c r="I397" s="16" t="s">
        <v>11</v>
      </c>
      <c r="J397" s="16" t="s">
        <v>266</v>
      </c>
      <c r="K397" s="16" t="s">
        <v>267</v>
      </c>
      <c r="L397" s="16"/>
      <c r="M397" s="16"/>
      <c r="N397" s="23" t="str">
        <f>HYPERLINK("http://slimages.macys.com/is/image/MCY/19610914 ")</f>
        <v xml:space="preserve">http://slimages.macys.com/is/image/MCY/19610914 </v>
      </c>
    </row>
    <row r="398" spans="1:14" x14ac:dyDescent="0.25">
      <c r="A398" s="21" t="s">
        <v>320</v>
      </c>
      <c r="B398" s="16" t="s">
        <v>321</v>
      </c>
      <c r="C398" s="17">
        <v>1</v>
      </c>
      <c r="D398" s="22">
        <v>26.11</v>
      </c>
      <c r="E398" s="22">
        <v>26.11</v>
      </c>
      <c r="F398" s="17" t="s">
        <v>322</v>
      </c>
      <c r="G398" s="16" t="s">
        <v>104</v>
      </c>
      <c r="H398" s="21" t="s">
        <v>55</v>
      </c>
      <c r="I398" s="16" t="s">
        <v>11</v>
      </c>
      <c r="J398" s="16" t="s">
        <v>266</v>
      </c>
      <c r="K398" s="16" t="s">
        <v>267</v>
      </c>
      <c r="L398" s="16"/>
      <c r="M398" s="16"/>
      <c r="N398" s="23" t="str">
        <f>HYPERLINK("http://slimages.macys.com/is/image/MCY/19610914 ")</f>
        <v xml:space="preserve">http://slimages.macys.com/is/image/MCY/19610914 </v>
      </c>
    </row>
    <row r="399" spans="1:14" x14ac:dyDescent="0.25">
      <c r="A399" s="21" t="s">
        <v>2466</v>
      </c>
      <c r="B399" s="16" t="s">
        <v>2467</v>
      </c>
      <c r="C399" s="17">
        <v>1</v>
      </c>
      <c r="D399" s="22">
        <v>15.99</v>
      </c>
      <c r="E399" s="22">
        <v>15.99</v>
      </c>
      <c r="F399" s="17" t="s">
        <v>335</v>
      </c>
      <c r="G399" s="16" t="s">
        <v>76</v>
      </c>
      <c r="H399" s="21" t="s">
        <v>55</v>
      </c>
      <c r="I399" s="16" t="s">
        <v>11</v>
      </c>
      <c r="J399" s="16" t="s">
        <v>266</v>
      </c>
      <c r="K399" s="16" t="s">
        <v>267</v>
      </c>
      <c r="L399" s="16"/>
      <c r="M399" s="16"/>
      <c r="N399" s="23" t="str">
        <f>HYPERLINK("http://slimages.macys.com/is/image/MCY/19643930 ")</f>
        <v xml:space="preserve">http://slimages.macys.com/is/image/MCY/19643930 </v>
      </c>
    </row>
    <row r="400" spans="1:14" x14ac:dyDescent="0.25">
      <c r="A400" s="21" t="s">
        <v>2468</v>
      </c>
      <c r="B400" s="16" t="s">
        <v>2469</v>
      </c>
      <c r="C400" s="17">
        <v>1</v>
      </c>
      <c r="D400" s="22">
        <v>15.99</v>
      </c>
      <c r="E400" s="22">
        <v>15.99</v>
      </c>
      <c r="F400" s="17" t="s">
        <v>335</v>
      </c>
      <c r="G400" s="16" t="s">
        <v>174</v>
      </c>
      <c r="H400" s="21" t="s">
        <v>40</v>
      </c>
      <c r="I400" s="16" t="s">
        <v>11</v>
      </c>
      <c r="J400" s="16" t="s">
        <v>266</v>
      </c>
      <c r="K400" s="16" t="s">
        <v>267</v>
      </c>
      <c r="L400" s="16"/>
      <c r="M400" s="16"/>
      <c r="N400" s="23" t="str">
        <f>HYPERLINK("http://slimages.macys.com/is/image/MCY/19643930 ")</f>
        <v xml:space="preserve">http://slimages.macys.com/is/image/MCY/19643930 </v>
      </c>
    </row>
    <row r="401" spans="1:14" x14ac:dyDescent="0.25">
      <c r="A401" s="21" t="s">
        <v>2470</v>
      </c>
      <c r="B401" s="16" t="s">
        <v>2471</v>
      </c>
      <c r="C401" s="17">
        <v>1</v>
      </c>
      <c r="D401" s="22">
        <v>15.99</v>
      </c>
      <c r="E401" s="22">
        <v>15.99</v>
      </c>
      <c r="F401" s="17" t="s">
        <v>335</v>
      </c>
      <c r="G401" s="16" t="s">
        <v>31</v>
      </c>
      <c r="H401" s="21" t="s">
        <v>40</v>
      </c>
      <c r="I401" s="16" t="s">
        <v>11</v>
      </c>
      <c r="J401" s="16" t="s">
        <v>266</v>
      </c>
      <c r="K401" s="16" t="s">
        <v>267</v>
      </c>
      <c r="L401" s="16"/>
      <c r="M401" s="16"/>
      <c r="N401" s="23" t="str">
        <f>HYPERLINK("http://slimages.macys.com/is/image/MCY/19643930 ")</f>
        <v xml:space="preserve">http://slimages.macys.com/is/image/MCY/19643930 </v>
      </c>
    </row>
    <row r="402" spans="1:14" x14ac:dyDescent="0.25">
      <c r="A402" s="21" t="s">
        <v>2472</v>
      </c>
      <c r="B402" s="16" t="s">
        <v>2473</v>
      </c>
      <c r="C402" s="17">
        <v>2</v>
      </c>
      <c r="D402" s="22">
        <v>15.99</v>
      </c>
      <c r="E402" s="22">
        <v>31.98</v>
      </c>
      <c r="F402" s="17" t="s">
        <v>335</v>
      </c>
      <c r="G402" s="16" t="s">
        <v>458</v>
      </c>
      <c r="H402" s="21" t="s">
        <v>55</v>
      </c>
      <c r="I402" s="16" t="s">
        <v>11</v>
      </c>
      <c r="J402" s="16" t="s">
        <v>266</v>
      </c>
      <c r="K402" s="16" t="s">
        <v>267</v>
      </c>
      <c r="L402" s="16"/>
      <c r="M402" s="16"/>
      <c r="N402" s="23" t="str">
        <f>HYPERLINK("http://slimages.macys.com/is/image/MCY/19643930 ")</f>
        <v xml:space="preserve">http://slimages.macys.com/is/image/MCY/19643930 </v>
      </c>
    </row>
    <row r="403" spans="1:14" x14ac:dyDescent="0.25">
      <c r="A403" s="21" t="s">
        <v>1935</v>
      </c>
      <c r="B403" s="16" t="s">
        <v>1936</v>
      </c>
      <c r="C403" s="17">
        <v>1</v>
      </c>
      <c r="D403" s="22">
        <v>17.989999999999998</v>
      </c>
      <c r="E403" s="22">
        <v>17.989999999999998</v>
      </c>
      <c r="F403" s="17" t="s">
        <v>339</v>
      </c>
      <c r="G403" s="16" t="s">
        <v>140</v>
      </c>
      <c r="H403" s="21" t="s">
        <v>55</v>
      </c>
      <c r="I403" s="16" t="s">
        <v>11</v>
      </c>
      <c r="J403" s="16" t="s">
        <v>266</v>
      </c>
      <c r="K403" s="16" t="s">
        <v>267</v>
      </c>
      <c r="L403" s="16"/>
      <c r="M403" s="16"/>
      <c r="N403" s="23" t="str">
        <f>HYPERLINK("http://slimages.macys.com/is/image/MCY/19909260 ")</f>
        <v xml:space="preserve">http://slimages.macys.com/is/image/MCY/19909260 </v>
      </c>
    </row>
    <row r="404" spans="1:14" x14ac:dyDescent="0.25">
      <c r="A404" s="21" t="s">
        <v>2397</v>
      </c>
      <c r="B404" s="16" t="s">
        <v>2398</v>
      </c>
      <c r="C404" s="17">
        <v>2</v>
      </c>
      <c r="D404" s="22">
        <v>26.99</v>
      </c>
      <c r="E404" s="22">
        <v>53.98</v>
      </c>
      <c r="F404" s="17" t="s">
        <v>2399</v>
      </c>
      <c r="G404" s="16" t="s">
        <v>85</v>
      </c>
      <c r="H404" s="21" t="s">
        <v>27</v>
      </c>
      <c r="I404" s="16" t="s">
        <v>11</v>
      </c>
      <c r="J404" s="16" t="s">
        <v>266</v>
      </c>
      <c r="K404" s="16" t="s">
        <v>267</v>
      </c>
      <c r="L404" s="16"/>
      <c r="M404" s="16"/>
      <c r="N404" s="23" t="str">
        <f>HYPERLINK("http://slimages.macys.com/is/image/MCY/18612486 ")</f>
        <v xml:space="preserve">http://slimages.macys.com/is/image/MCY/18612486 </v>
      </c>
    </row>
    <row r="405" spans="1:14" x14ac:dyDescent="0.25">
      <c r="A405" s="21" t="s">
        <v>2379</v>
      </c>
      <c r="B405" s="16" t="s">
        <v>2380</v>
      </c>
      <c r="C405" s="17">
        <v>1</v>
      </c>
      <c r="D405" s="22">
        <v>32.99</v>
      </c>
      <c r="E405" s="22">
        <v>32.99</v>
      </c>
      <c r="F405" s="17" t="s">
        <v>2381</v>
      </c>
      <c r="G405" s="16" t="s">
        <v>31</v>
      </c>
      <c r="H405" s="21" t="s">
        <v>55</v>
      </c>
      <c r="I405" s="16" t="s">
        <v>11</v>
      </c>
      <c r="J405" s="16" t="s">
        <v>266</v>
      </c>
      <c r="K405" s="16" t="s">
        <v>267</v>
      </c>
      <c r="L405" s="16"/>
      <c r="M405" s="16"/>
      <c r="N405" s="23" t="str">
        <f>HYPERLINK("http://slimages.macys.com/is/image/MCY/19267261 ")</f>
        <v xml:space="preserve">http://slimages.macys.com/is/image/MCY/19267261 </v>
      </c>
    </row>
    <row r="406" spans="1:14" x14ac:dyDescent="0.25">
      <c r="A406" s="21" t="s">
        <v>2357</v>
      </c>
      <c r="B406" s="16" t="s">
        <v>2358</v>
      </c>
      <c r="C406" s="17">
        <v>1</v>
      </c>
      <c r="D406" s="22">
        <v>40.99</v>
      </c>
      <c r="E406" s="22">
        <v>40.99</v>
      </c>
      <c r="F406" s="17" t="s">
        <v>2359</v>
      </c>
      <c r="G406" s="16" t="s">
        <v>78</v>
      </c>
      <c r="H406" s="21" t="s">
        <v>55</v>
      </c>
      <c r="I406" s="16" t="s">
        <v>11</v>
      </c>
      <c r="J406" s="16" t="s">
        <v>266</v>
      </c>
      <c r="K406" s="16" t="s">
        <v>267</v>
      </c>
      <c r="L406" s="16"/>
      <c r="M406" s="16"/>
      <c r="N406" s="23" t="str">
        <f>HYPERLINK("http://slimages.macys.com/is/image/MCY/20226828 ")</f>
        <v xml:space="preserve">http://slimages.macys.com/is/image/MCY/20226828 </v>
      </c>
    </row>
    <row r="407" spans="1:14" x14ac:dyDescent="0.25">
      <c r="A407" s="21" t="s">
        <v>1210</v>
      </c>
      <c r="B407" s="16" t="s">
        <v>1211</v>
      </c>
      <c r="C407" s="17">
        <v>1</v>
      </c>
      <c r="D407" s="22">
        <v>37.99</v>
      </c>
      <c r="E407" s="22">
        <v>37.99</v>
      </c>
      <c r="F407" s="17" t="s">
        <v>1212</v>
      </c>
      <c r="G407" s="16" t="s">
        <v>78</v>
      </c>
      <c r="H407" s="21" t="s">
        <v>55</v>
      </c>
      <c r="I407" s="16" t="s">
        <v>11</v>
      </c>
      <c r="J407" s="16" t="s">
        <v>266</v>
      </c>
      <c r="K407" s="16" t="s">
        <v>267</v>
      </c>
      <c r="L407" s="16"/>
      <c r="M407" s="16"/>
      <c r="N407" s="23" t="str">
        <f>HYPERLINK("http://slimages.macys.com/is/image/MCY/1043885 ")</f>
        <v xml:space="preserve">http://slimages.macys.com/is/image/MCY/1043885 </v>
      </c>
    </row>
    <row r="408" spans="1:14" x14ac:dyDescent="0.25">
      <c r="A408" s="21" t="s">
        <v>1205</v>
      </c>
      <c r="B408" s="16" t="s">
        <v>1206</v>
      </c>
      <c r="C408" s="17">
        <v>1</v>
      </c>
      <c r="D408" s="22">
        <v>23.99</v>
      </c>
      <c r="E408" s="22">
        <v>23.99</v>
      </c>
      <c r="F408" s="17" t="s">
        <v>1207</v>
      </c>
      <c r="G408" s="16" t="s">
        <v>83</v>
      </c>
      <c r="H408" s="21" t="s">
        <v>47</v>
      </c>
      <c r="I408" s="16" t="s">
        <v>11</v>
      </c>
      <c r="J408" s="16" t="s">
        <v>266</v>
      </c>
      <c r="K408" s="16" t="s">
        <v>267</v>
      </c>
      <c r="L408" s="16"/>
      <c r="M408" s="16"/>
      <c r="N408" s="23" t="str">
        <f>HYPERLINK("http://slimages.macys.com/is/image/MCY/18531891 ")</f>
        <v xml:space="preserve">http://slimages.macys.com/is/image/MCY/18531891 </v>
      </c>
    </row>
    <row r="409" spans="1:14" x14ac:dyDescent="0.25">
      <c r="A409" s="21" t="s">
        <v>742</v>
      </c>
      <c r="B409" s="16" t="s">
        <v>743</v>
      </c>
      <c r="C409" s="17">
        <v>1</v>
      </c>
      <c r="D409" s="22">
        <v>23.99</v>
      </c>
      <c r="E409" s="22">
        <v>23.99</v>
      </c>
      <c r="F409" s="17" t="s">
        <v>306</v>
      </c>
      <c r="G409" s="16" t="s">
        <v>82</v>
      </c>
      <c r="H409" s="21" t="s">
        <v>55</v>
      </c>
      <c r="I409" s="16" t="s">
        <v>11</v>
      </c>
      <c r="J409" s="16" t="s">
        <v>266</v>
      </c>
      <c r="K409" s="16" t="s">
        <v>267</v>
      </c>
      <c r="L409" s="16"/>
      <c r="M409" s="16"/>
      <c r="N409" s="23" t="str">
        <f>HYPERLINK("http://slimages.macys.com/is/image/MCY/18531891 ")</f>
        <v xml:space="preserve">http://slimages.macys.com/is/image/MCY/18531891 </v>
      </c>
    </row>
    <row r="410" spans="1:14" x14ac:dyDescent="0.25">
      <c r="A410" s="21" t="s">
        <v>2460</v>
      </c>
      <c r="B410" s="16" t="s">
        <v>2461</v>
      </c>
      <c r="C410" s="17">
        <v>1</v>
      </c>
      <c r="D410" s="22">
        <v>16.989999999999998</v>
      </c>
      <c r="E410" s="22">
        <v>16.989999999999998</v>
      </c>
      <c r="F410" s="17" t="s">
        <v>328</v>
      </c>
      <c r="G410" s="16" t="s">
        <v>122</v>
      </c>
      <c r="H410" s="21" t="s">
        <v>55</v>
      </c>
      <c r="I410" s="16" t="s">
        <v>11</v>
      </c>
      <c r="J410" s="16" t="s">
        <v>266</v>
      </c>
      <c r="K410" s="16" t="s">
        <v>267</v>
      </c>
      <c r="L410" s="16"/>
      <c r="M410" s="16"/>
      <c r="N410" s="23" t="str">
        <f t="shared" ref="N410:N423" si="4">HYPERLINK("http://slimages.macys.com/is/image/MCY/19638875 ")</f>
        <v xml:space="preserve">http://slimages.macys.com/is/image/MCY/19638875 </v>
      </c>
    </row>
    <row r="411" spans="1:14" x14ac:dyDescent="0.25">
      <c r="A411" s="21" t="s">
        <v>2456</v>
      </c>
      <c r="B411" s="16" t="s">
        <v>2457</v>
      </c>
      <c r="C411" s="17">
        <v>1</v>
      </c>
      <c r="D411" s="22">
        <v>16.989999999999998</v>
      </c>
      <c r="E411" s="22">
        <v>16.989999999999998</v>
      </c>
      <c r="F411" s="17" t="s">
        <v>328</v>
      </c>
      <c r="G411" s="16" t="s">
        <v>31</v>
      </c>
      <c r="H411" s="21" t="s">
        <v>40</v>
      </c>
      <c r="I411" s="16" t="s">
        <v>11</v>
      </c>
      <c r="J411" s="16" t="s">
        <v>266</v>
      </c>
      <c r="K411" s="16" t="s">
        <v>267</v>
      </c>
      <c r="L411" s="16"/>
      <c r="M411" s="16"/>
      <c r="N411" s="23" t="str">
        <f t="shared" si="4"/>
        <v xml:space="preserve">http://slimages.macys.com/is/image/MCY/19638875 </v>
      </c>
    </row>
    <row r="412" spans="1:14" x14ac:dyDescent="0.25">
      <c r="A412" s="21" t="s">
        <v>747</v>
      </c>
      <c r="B412" s="16" t="s">
        <v>748</v>
      </c>
      <c r="C412" s="17">
        <v>2</v>
      </c>
      <c r="D412" s="22">
        <v>16.989999999999998</v>
      </c>
      <c r="E412" s="22">
        <v>33.979999999999997</v>
      </c>
      <c r="F412" s="17" t="s">
        <v>328</v>
      </c>
      <c r="G412" s="16" t="s">
        <v>31</v>
      </c>
      <c r="H412" s="21" t="s">
        <v>55</v>
      </c>
      <c r="I412" s="16" t="s">
        <v>11</v>
      </c>
      <c r="J412" s="16" t="s">
        <v>266</v>
      </c>
      <c r="K412" s="16" t="s">
        <v>267</v>
      </c>
      <c r="L412" s="16"/>
      <c r="M412" s="16"/>
      <c r="N412" s="23" t="str">
        <f t="shared" si="4"/>
        <v xml:space="preserve">http://slimages.macys.com/is/image/MCY/19638875 </v>
      </c>
    </row>
    <row r="413" spans="1:14" x14ac:dyDescent="0.25">
      <c r="A413" s="21" t="s">
        <v>2458</v>
      </c>
      <c r="B413" s="16" t="s">
        <v>2459</v>
      </c>
      <c r="C413" s="17">
        <v>1</v>
      </c>
      <c r="D413" s="22">
        <v>16.989999999999998</v>
      </c>
      <c r="E413" s="22">
        <v>16.989999999999998</v>
      </c>
      <c r="F413" s="17" t="s">
        <v>328</v>
      </c>
      <c r="G413" s="16" t="s">
        <v>31</v>
      </c>
      <c r="H413" s="21" t="s">
        <v>27</v>
      </c>
      <c r="I413" s="16" t="s">
        <v>11</v>
      </c>
      <c r="J413" s="16" t="s">
        <v>266</v>
      </c>
      <c r="K413" s="16" t="s">
        <v>267</v>
      </c>
      <c r="L413" s="16"/>
      <c r="M413" s="16"/>
      <c r="N413" s="23" t="str">
        <f t="shared" si="4"/>
        <v xml:space="preserve">http://slimages.macys.com/is/image/MCY/19638875 </v>
      </c>
    </row>
    <row r="414" spans="1:14" x14ac:dyDescent="0.25">
      <c r="A414" s="21" t="s">
        <v>1235</v>
      </c>
      <c r="B414" s="16" t="s">
        <v>1236</v>
      </c>
      <c r="C414" s="17">
        <v>2</v>
      </c>
      <c r="D414" s="22">
        <v>16.989999999999998</v>
      </c>
      <c r="E414" s="22">
        <v>33.979999999999997</v>
      </c>
      <c r="F414" s="17" t="s">
        <v>328</v>
      </c>
      <c r="G414" s="16" t="s">
        <v>31</v>
      </c>
      <c r="H414" s="21" t="s">
        <v>47</v>
      </c>
      <c r="I414" s="16" t="s">
        <v>11</v>
      </c>
      <c r="J414" s="16" t="s">
        <v>266</v>
      </c>
      <c r="K414" s="16" t="s">
        <v>267</v>
      </c>
      <c r="L414" s="16"/>
      <c r="M414" s="16"/>
      <c r="N414" s="23" t="str">
        <f t="shared" si="4"/>
        <v xml:space="preserve">http://slimages.macys.com/is/image/MCY/19638875 </v>
      </c>
    </row>
    <row r="415" spans="1:14" x14ac:dyDescent="0.25">
      <c r="A415" s="21" t="s">
        <v>2454</v>
      </c>
      <c r="B415" s="16" t="s">
        <v>2455</v>
      </c>
      <c r="C415" s="17">
        <v>1</v>
      </c>
      <c r="D415" s="22">
        <v>16.989999999999998</v>
      </c>
      <c r="E415" s="22">
        <v>16.989999999999998</v>
      </c>
      <c r="F415" s="17" t="s">
        <v>328</v>
      </c>
      <c r="G415" s="16" t="s">
        <v>31</v>
      </c>
      <c r="H415" s="21" t="s">
        <v>87</v>
      </c>
      <c r="I415" s="16" t="s">
        <v>11</v>
      </c>
      <c r="J415" s="16" t="s">
        <v>266</v>
      </c>
      <c r="K415" s="16" t="s">
        <v>267</v>
      </c>
      <c r="L415" s="16"/>
      <c r="M415" s="16"/>
      <c r="N415" s="23" t="str">
        <f t="shared" si="4"/>
        <v xml:space="preserve">http://slimages.macys.com/is/image/MCY/19638875 </v>
      </c>
    </row>
    <row r="416" spans="1:14" x14ac:dyDescent="0.25">
      <c r="A416" s="21" t="s">
        <v>754</v>
      </c>
      <c r="B416" s="16" t="s">
        <v>755</v>
      </c>
      <c r="C416" s="17">
        <v>2</v>
      </c>
      <c r="D416" s="22">
        <v>16.989999999999998</v>
      </c>
      <c r="E416" s="22">
        <v>33.979999999999997</v>
      </c>
      <c r="F416" s="17" t="s">
        <v>328</v>
      </c>
      <c r="G416" s="16" t="s">
        <v>202</v>
      </c>
      <c r="H416" s="21" t="s">
        <v>40</v>
      </c>
      <c r="I416" s="16" t="s">
        <v>11</v>
      </c>
      <c r="J416" s="16" t="s">
        <v>266</v>
      </c>
      <c r="K416" s="16" t="s">
        <v>267</v>
      </c>
      <c r="L416" s="16"/>
      <c r="M416" s="16"/>
      <c r="N416" s="23" t="str">
        <f t="shared" si="4"/>
        <v xml:space="preserve">http://slimages.macys.com/is/image/MCY/19638875 </v>
      </c>
    </row>
    <row r="417" spans="1:14" x14ac:dyDescent="0.25">
      <c r="A417" s="21" t="s">
        <v>2462</v>
      </c>
      <c r="B417" s="16" t="s">
        <v>2463</v>
      </c>
      <c r="C417" s="17">
        <v>3</v>
      </c>
      <c r="D417" s="22">
        <v>16.989999999999998</v>
      </c>
      <c r="E417" s="22">
        <v>50.97</v>
      </c>
      <c r="F417" s="17" t="s">
        <v>328</v>
      </c>
      <c r="G417" s="16" t="s">
        <v>202</v>
      </c>
      <c r="H417" s="21" t="s">
        <v>55</v>
      </c>
      <c r="I417" s="16" t="s">
        <v>11</v>
      </c>
      <c r="J417" s="16" t="s">
        <v>266</v>
      </c>
      <c r="K417" s="16" t="s">
        <v>267</v>
      </c>
      <c r="L417" s="16"/>
      <c r="M417" s="16"/>
      <c r="N417" s="23" t="str">
        <f t="shared" si="4"/>
        <v xml:space="preserve">http://slimages.macys.com/is/image/MCY/19638875 </v>
      </c>
    </row>
    <row r="418" spans="1:14" x14ac:dyDescent="0.25">
      <c r="A418" s="21" t="s">
        <v>1239</v>
      </c>
      <c r="B418" s="16" t="s">
        <v>1240</v>
      </c>
      <c r="C418" s="17">
        <v>1</v>
      </c>
      <c r="D418" s="22">
        <v>16.989999999999998</v>
      </c>
      <c r="E418" s="22">
        <v>16.989999999999998</v>
      </c>
      <c r="F418" s="17" t="s">
        <v>328</v>
      </c>
      <c r="G418" s="16" t="s">
        <v>202</v>
      </c>
      <c r="H418" s="21" t="s">
        <v>47</v>
      </c>
      <c r="I418" s="16" t="s">
        <v>11</v>
      </c>
      <c r="J418" s="16" t="s">
        <v>266</v>
      </c>
      <c r="K418" s="16" t="s">
        <v>267</v>
      </c>
      <c r="L418" s="16"/>
      <c r="M418" s="16"/>
      <c r="N418" s="23" t="str">
        <f t="shared" si="4"/>
        <v xml:space="preserve">http://slimages.macys.com/is/image/MCY/19638875 </v>
      </c>
    </row>
    <row r="419" spans="1:14" x14ac:dyDescent="0.25">
      <c r="A419" s="21" t="s">
        <v>1812</v>
      </c>
      <c r="B419" s="16" t="s">
        <v>1813</v>
      </c>
      <c r="C419" s="17">
        <v>1</v>
      </c>
      <c r="D419" s="22">
        <v>16.989999999999998</v>
      </c>
      <c r="E419" s="22">
        <v>16.989999999999998</v>
      </c>
      <c r="F419" s="17" t="s">
        <v>328</v>
      </c>
      <c r="G419" s="16" t="s">
        <v>202</v>
      </c>
      <c r="H419" s="21" t="s">
        <v>87</v>
      </c>
      <c r="I419" s="16" t="s">
        <v>11</v>
      </c>
      <c r="J419" s="16" t="s">
        <v>266</v>
      </c>
      <c r="K419" s="16" t="s">
        <v>267</v>
      </c>
      <c r="L419" s="16"/>
      <c r="M419" s="16"/>
      <c r="N419" s="23" t="str">
        <f t="shared" si="4"/>
        <v xml:space="preserve">http://slimages.macys.com/is/image/MCY/19638875 </v>
      </c>
    </row>
    <row r="420" spans="1:14" x14ac:dyDescent="0.25">
      <c r="A420" s="21" t="s">
        <v>752</v>
      </c>
      <c r="B420" s="16" t="s">
        <v>753</v>
      </c>
      <c r="C420" s="17">
        <v>3</v>
      </c>
      <c r="D420" s="22">
        <v>16.989999999999998</v>
      </c>
      <c r="E420" s="22">
        <v>50.97</v>
      </c>
      <c r="F420" s="17" t="s">
        <v>328</v>
      </c>
      <c r="G420" s="16" t="s">
        <v>135</v>
      </c>
      <c r="H420" s="21" t="s">
        <v>32</v>
      </c>
      <c r="I420" s="16" t="s">
        <v>11</v>
      </c>
      <c r="J420" s="16" t="s">
        <v>266</v>
      </c>
      <c r="K420" s="16" t="s">
        <v>267</v>
      </c>
      <c r="L420" s="16"/>
      <c r="M420" s="16"/>
      <c r="N420" s="23" t="str">
        <f t="shared" si="4"/>
        <v xml:space="preserve">http://slimages.macys.com/is/image/MCY/19638875 </v>
      </c>
    </row>
    <row r="421" spans="1:14" x14ac:dyDescent="0.25">
      <c r="A421" s="21" t="s">
        <v>331</v>
      </c>
      <c r="B421" s="16" t="s">
        <v>332</v>
      </c>
      <c r="C421" s="17">
        <v>2</v>
      </c>
      <c r="D421" s="22">
        <v>16.989999999999998</v>
      </c>
      <c r="E421" s="22">
        <v>33.979999999999997</v>
      </c>
      <c r="F421" s="17" t="s">
        <v>328</v>
      </c>
      <c r="G421" s="16" t="s">
        <v>135</v>
      </c>
      <c r="H421" s="21" t="s">
        <v>55</v>
      </c>
      <c r="I421" s="16" t="s">
        <v>11</v>
      </c>
      <c r="J421" s="16" t="s">
        <v>266</v>
      </c>
      <c r="K421" s="16" t="s">
        <v>267</v>
      </c>
      <c r="L421" s="16"/>
      <c r="M421" s="16"/>
      <c r="N421" s="23" t="str">
        <f t="shared" si="4"/>
        <v xml:space="preserve">http://slimages.macys.com/is/image/MCY/19638875 </v>
      </c>
    </row>
    <row r="422" spans="1:14" x14ac:dyDescent="0.25">
      <c r="A422" s="21" t="s">
        <v>2450</v>
      </c>
      <c r="B422" s="16" t="s">
        <v>2451</v>
      </c>
      <c r="C422" s="17">
        <v>1</v>
      </c>
      <c r="D422" s="22">
        <v>16.989999999999998</v>
      </c>
      <c r="E422" s="22">
        <v>16.989999999999998</v>
      </c>
      <c r="F422" s="17" t="s">
        <v>325</v>
      </c>
      <c r="G422" s="16" t="s">
        <v>102</v>
      </c>
      <c r="H422" s="21" t="s">
        <v>27</v>
      </c>
      <c r="I422" s="16" t="s">
        <v>11</v>
      </c>
      <c r="J422" s="16" t="s">
        <v>266</v>
      </c>
      <c r="K422" s="16" t="s">
        <v>267</v>
      </c>
      <c r="L422" s="16"/>
      <c r="M422" s="16"/>
      <c r="N422" s="23" t="str">
        <f t="shared" si="4"/>
        <v xml:space="preserve">http://slimages.macys.com/is/image/MCY/19638875 </v>
      </c>
    </row>
    <row r="423" spans="1:14" x14ac:dyDescent="0.25">
      <c r="A423" s="21" t="s">
        <v>2452</v>
      </c>
      <c r="B423" s="16" t="s">
        <v>2453</v>
      </c>
      <c r="C423" s="17">
        <v>1</v>
      </c>
      <c r="D423" s="22">
        <v>16.989999999999998</v>
      </c>
      <c r="E423" s="22">
        <v>16.989999999999998</v>
      </c>
      <c r="F423" s="17" t="s">
        <v>325</v>
      </c>
      <c r="G423" s="16" t="s">
        <v>102</v>
      </c>
      <c r="H423" s="21" t="s">
        <v>87</v>
      </c>
      <c r="I423" s="16" t="s">
        <v>11</v>
      </c>
      <c r="J423" s="16" t="s">
        <v>266</v>
      </c>
      <c r="K423" s="16" t="s">
        <v>267</v>
      </c>
      <c r="L423" s="16"/>
      <c r="M423" s="16"/>
      <c r="N423" s="23" t="str">
        <f t="shared" si="4"/>
        <v xml:space="preserve">http://slimages.macys.com/is/image/MCY/19638875 </v>
      </c>
    </row>
    <row r="424" spans="1:14" x14ac:dyDescent="0.25">
      <c r="A424" s="21" t="s">
        <v>2424</v>
      </c>
      <c r="B424" s="16" t="s">
        <v>2425</v>
      </c>
      <c r="C424" s="17">
        <v>1</v>
      </c>
      <c r="D424" s="22">
        <v>14.99</v>
      </c>
      <c r="E424" s="22">
        <v>14.99</v>
      </c>
      <c r="F424" s="17" t="s">
        <v>307</v>
      </c>
      <c r="G424" s="16" t="s">
        <v>31</v>
      </c>
      <c r="H424" s="21" t="s">
        <v>40</v>
      </c>
      <c r="I424" s="16" t="s">
        <v>11</v>
      </c>
      <c r="J424" s="16" t="s">
        <v>266</v>
      </c>
      <c r="K424" s="16" t="s">
        <v>267</v>
      </c>
      <c r="L424" s="16"/>
      <c r="M424" s="16"/>
      <c r="N424" s="23" t="str">
        <f>HYPERLINK("http://slimages.macys.com/is/image/MCY/19885951 ")</f>
        <v xml:space="preserve">http://slimages.macys.com/is/image/MCY/19885951 </v>
      </c>
    </row>
    <row r="425" spans="1:14" x14ac:dyDescent="0.25">
      <c r="A425" s="21" t="s">
        <v>2420</v>
      </c>
      <c r="B425" s="16" t="s">
        <v>2421</v>
      </c>
      <c r="C425" s="17">
        <v>1</v>
      </c>
      <c r="D425" s="22">
        <v>14.99</v>
      </c>
      <c r="E425" s="22">
        <v>14.99</v>
      </c>
      <c r="F425" s="17" t="s">
        <v>307</v>
      </c>
      <c r="G425" s="16" t="s">
        <v>205</v>
      </c>
      <c r="H425" s="21" t="s">
        <v>32</v>
      </c>
      <c r="I425" s="16" t="s">
        <v>11</v>
      </c>
      <c r="J425" s="16" t="s">
        <v>266</v>
      </c>
      <c r="K425" s="16" t="s">
        <v>267</v>
      </c>
      <c r="L425" s="16"/>
      <c r="M425" s="16"/>
      <c r="N425" s="23" t="str">
        <f>HYPERLINK("http://slimages.macys.com/is/image/MCY/19885992 ")</f>
        <v xml:space="preserve">http://slimages.macys.com/is/image/MCY/19885992 </v>
      </c>
    </row>
    <row r="426" spans="1:14" x14ac:dyDescent="0.25">
      <c r="A426" s="21" t="s">
        <v>2422</v>
      </c>
      <c r="B426" s="16" t="s">
        <v>2423</v>
      </c>
      <c r="C426" s="17">
        <v>1</v>
      </c>
      <c r="D426" s="22">
        <v>14.99</v>
      </c>
      <c r="E426" s="22">
        <v>14.99</v>
      </c>
      <c r="F426" s="17" t="s">
        <v>307</v>
      </c>
      <c r="G426" s="16" t="s">
        <v>107</v>
      </c>
      <c r="H426" s="21" t="s">
        <v>27</v>
      </c>
      <c r="I426" s="16" t="s">
        <v>11</v>
      </c>
      <c r="J426" s="16" t="s">
        <v>266</v>
      </c>
      <c r="K426" s="16" t="s">
        <v>267</v>
      </c>
      <c r="L426" s="16"/>
      <c r="M426" s="16"/>
      <c r="N426" s="23" t="str">
        <f>HYPERLINK("http://slimages.macys.com/is/image/MCY/19885992 ")</f>
        <v xml:space="preserve">http://slimages.macys.com/is/image/MCY/19885992 </v>
      </c>
    </row>
    <row r="427" spans="1:14" x14ac:dyDescent="0.25">
      <c r="A427" s="21" t="s">
        <v>2353</v>
      </c>
      <c r="B427" s="16" t="s">
        <v>2354</v>
      </c>
      <c r="C427" s="17">
        <v>1</v>
      </c>
      <c r="D427" s="22">
        <v>49.99</v>
      </c>
      <c r="E427" s="22">
        <v>49.99</v>
      </c>
      <c r="F427" s="17" t="s">
        <v>1204</v>
      </c>
      <c r="G427" s="16" t="s">
        <v>31</v>
      </c>
      <c r="H427" s="21" t="s">
        <v>40</v>
      </c>
      <c r="I427" s="16" t="s">
        <v>11</v>
      </c>
      <c r="J427" s="16" t="s">
        <v>266</v>
      </c>
      <c r="K427" s="16" t="s">
        <v>267</v>
      </c>
      <c r="L427" s="16"/>
      <c r="M427" s="16"/>
      <c r="N427" s="23" t="str">
        <f>HYPERLINK("http://slimages.macys.com/is/image/MCY/20492211 ")</f>
        <v xml:space="preserve">http://slimages.macys.com/is/image/MCY/20492211 </v>
      </c>
    </row>
    <row r="428" spans="1:14" x14ac:dyDescent="0.25">
      <c r="A428" s="21" t="s">
        <v>2439</v>
      </c>
      <c r="B428" s="16" t="s">
        <v>2440</v>
      </c>
      <c r="C428" s="17">
        <v>1</v>
      </c>
      <c r="D428" s="22">
        <v>24.99</v>
      </c>
      <c r="E428" s="22">
        <v>24.99</v>
      </c>
      <c r="F428" s="17" t="s">
        <v>1019</v>
      </c>
      <c r="G428" s="16" t="s">
        <v>125</v>
      </c>
      <c r="H428" s="21" t="s">
        <v>47</v>
      </c>
      <c r="I428" s="16" t="s">
        <v>11</v>
      </c>
      <c r="J428" s="16" t="s">
        <v>266</v>
      </c>
      <c r="K428" s="16" t="s">
        <v>267</v>
      </c>
      <c r="L428" s="16"/>
      <c r="M428" s="16"/>
      <c r="N428" s="23" t="str">
        <f>HYPERLINK("http://slimages.macys.com/is/image/MCY/19545513 ")</f>
        <v xml:space="preserve">http://slimages.macys.com/is/image/MCY/19545513 </v>
      </c>
    </row>
    <row r="429" spans="1:14" x14ac:dyDescent="0.25">
      <c r="A429" s="21" t="s">
        <v>2435</v>
      </c>
      <c r="B429" s="16" t="s">
        <v>2436</v>
      </c>
      <c r="C429" s="17">
        <v>1</v>
      </c>
      <c r="D429" s="22">
        <v>24.99</v>
      </c>
      <c r="E429" s="22">
        <v>24.99</v>
      </c>
      <c r="F429" s="17" t="s">
        <v>316</v>
      </c>
      <c r="G429" s="16" t="s">
        <v>78</v>
      </c>
      <c r="H429" s="21" t="s">
        <v>47</v>
      </c>
      <c r="I429" s="16" t="s">
        <v>11</v>
      </c>
      <c r="J429" s="16" t="s">
        <v>266</v>
      </c>
      <c r="K429" s="16" t="s">
        <v>267</v>
      </c>
      <c r="L429" s="16"/>
      <c r="M429" s="16"/>
      <c r="N429" s="23" t="str">
        <f>HYPERLINK("http://slimages.macys.com/is/image/MCY/19545513 ")</f>
        <v xml:space="preserve">http://slimages.macys.com/is/image/MCY/19545513 </v>
      </c>
    </row>
    <row r="430" spans="1:14" x14ac:dyDescent="0.25">
      <c r="A430" s="21" t="s">
        <v>2437</v>
      </c>
      <c r="B430" s="16" t="s">
        <v>2438</v>
      </c>
      <c r="C430" s="17">
        <v>1</v>
      </c>
      <c r="D430" s="22">
        <v>24.99</v>
      </c>
      <c r="E430" s="22">
        <v>24.99</v>
      </c>
      <c r="F430" s="17" t="s">
        <v>746</v>
      </c>
      <c r="G430" s="16" t="s">
        <v>83</v>
      </c>
      <c r="H430" s="21" t="s">
        <v>27</v>
      </c>
      <c r="I430" s="16" t="s">
        <v>11</v>
      </c>
      <c r="J430" s="16" t="s">
        <v>266</v>
      </c>
      <c r="K430" s="16" t="s">
        <v>267</v>
      </c>
      <c r="L430" s="16"/>
      <c r="M430" s="16"/>
      <c r="N430" s="23" t="str">
        <f>HYPERLINK("http://slimages.macys.com/is/image/MCY/19545513 ")</f>
        <v xml:space="preserve">http://slimages.macys.com/is/image/MCY/19545513 </v>
      </c>
    </row>
    <row r="431" spans="1:14" x14ac:dyDescent="0.25">
      <c r="A431" s="21" t="s">
        <v>2433</v>
      </c>
      <c r="B431" s="16" t="s">
        <v>2434</v>
      </c>
      <c r="C431" s="17">
        <v>1</v>
      </c>
      <c r="D431" s="22">
        <v>24.99</v>
      </c>
      <c r="E431" s="22">
        <v>24.99</v>
      </c>
      <c r="F431" s="17" t="s">
        <v>746</v>
      </c>
      <c r="G431" s="16" t="s">
        <v>83</v>
      </c>
      <c r="H431" s="21" t="s">
        <v>47</v>
      </c>
      <c r="I431" s="16" t="s">
        <v>11</v>
      </c>
      <c r="J431" s="16" t="s">
        <v>266</v>
      </c>
      <c r="K431" s="16" t="s">
        <v>267</v>
      </c>
      <c r="L431" s="16"/>
      <c r="M431" s="16"/>
      <c r="N431" s="23" t="str">
        <f>HYPERLINK("http://slimages.macys.com/is/image/MCY/19545513 ")</f>
        <v xml:space="preserve">http://slimages.macys.com/is/image/MCY/19545513 </v>
      </c>
    </row>
    <row r="432" spans="1:14" x14ac:dyDescent="0.25">
      <c r="A432" s="21" t="s">
        <v>1911</v>
      </c>
      <c r="B432" s="16" t="s">
        <v>1912</v>
      </c>
      <c r="C432" s="17">
        <v>1</v>
      </c>
      <c r="D432" s="22">
        <v>27.99</v>
      </c>
      <c r="E432" s="22">
        <v>27.99</v>
      </c>
      <c r="F432" s="17" t="s">
        <v>283</v>
      </c>
      <c r="G432" s="16" t="s">
        <v>122</v>
      </c>
      <c r="H432" s="21" t="s">
        <v>40</v>
      </c>
      <c r="I432" s="16" t="s">
        <v>11</v>
      </c>
      <c r="J432" s="16" t="s">
        <v>266</v>
      </c>
      <c r="K432" s="16" t="s">
        <v>267</v>
      </c>
      <c r="L432" s="16"/>
      <c r="M432" s="16"/>
      <c r="N432" s="23" t="str">
        <f>HYPERLINK("http://slimages.macys.com/is/image/MCY/1051900 ")</f>
        <v xml:space="preserve">http://slimages.macys.com/is/image/MCY/1051900 </v>
      </c>
    </row>
    <row r="433" spans="1:14" x14ac:dyDescent="0.25">
      <c r="A433" s="21" t="s">
        <v>1742</v>
      </c>
      <c r="B433" s="16" t="s">
        <v>1743</v>
      </c>
      <c r="C433" s="17">
        <v>1</v>
      </c>
      <c r="D433" s="22">
        <v>27.99</v>
      </c>
      <c r="E433" s="22">
        <v>27.99</v>
      </c>
      <c r="F433" s="17" t="s">
        <v>283</v>
      </c>
      <c r="G433" s="16" t="s">
        <v>122</v>
      </c>
      <c r="H433" s="21" t="s">
        <v>87</v>
      </c>
      <c r="I433" s="16" t="s">
        <v>11</v>
      </c>
      <c r="J433" s="16" t="s">
        <v>266</v>
      </c>
      <c r="K433" s="16" t="s">
        <v>267</v>
      </c>
      <c r="L433" s="16"/>
      <c r="M433" s="16"/>
      <c r="N433" s="23" t="str">
        <f>HYPERLINK("http://slimages.macys.com/is/image/MCY/20226009 ")</f>
        <v xml:space="preserve">http://slimages.macys.com/is/image/MCY/20226009 </v>
      </c>
    </row>
    <row r="434" spans="1:14" x14ac:dyDescent="0.25">
      <c r="A434" s="21" t="s">
        <v>2412</v>
      </c>
      <c r="B434" s="16" t="s">
        <v>2413</v>
      </c>
      <c r="C434" s="17">
        <v>1</v>
      </c>
      <c r="D434" s="22">
        <v>27.99</v>
      </c>
      <c r="E434" s="22">
        <v>27.99</v>
      </c>
      <c r="F434" s="17" t="s">
        <v>265</v>
      </c>
      <c r="G434" s="16" t="s">
        <v>83</v>
      </c>
      <c r="H434" s="21" t="s">
        <v>27</v>
      </c>
      <c r="I434" s="16" t="s">
        <v>11</v>
      </c>
      <c r="J434" s="16" t="s">
        <v>266</v>
      </c>
      <c r="K434" s="16" t="s">
        <v>267</v>
      </c>
      <c r="L434" s="16"/>
      <c r="M434" s="16"/>
      <c r="N434" s="23" t="str">
        <f>HYPERLINK("http://slimages.macys.com/is/image/MCY/18449550 ")</f>
        <v xml:space="preserve">http://slimages.macys.com/is/image/MCY/18449550 </v>
      </c>
    </row>
    <row r="435" spans="1:14" x14ac:dyDescent="0.25">
      <c r="A435" s="21" t="s">
        <v>1925</v>
      </c>
      <c r="B435" s="16" t="s">
        <v>1926</v>
      </c>
      <c r="C435" s="17">
        <v>1</v>
      </c>
      <c r="D435" s="22">
        <v>27.99</v>
      </c>
      <c r="E435" s="22">
        <v>27.99</v>
      </c>
      <c r="F435" s="17" t="s">
        <v>1924</v>
      </c>
      <c r="G435" s="16" t="s">
        <v>78</v>
      </c>
      <c r="H435" s="21" t="s">
        <v>32</v>
      </c>
      <c r="I435" s="16" t="s">
        <v>11</v>
      </c>
      <c r="J435" s="16" t="s">
        <v>266</v>
      </c>
      <c r="K435" s="16" t="s">
        <v>267</v>
      </c>
      <c r="L435" s="16"/>
      <c r="M435" s="16"/>
      <c r="N435" s="23" t="str">
        <f>HYPERLINK("http://slimages.macys.com/is/image/MCY/18532343 ")</f>
        <v xml:space="preserve">http://slimages.macys.com/is/image/MCY/18532343 </v>
      </c>
    </row>
    <row r="436" spans="1:14" x14ac:dyDescent="0.25">
      <c r="A436" s="21" t="s">
        <v>1918</v>
      </c>
      <c r="B436" s="16" t="s">
        <v>1919</v>
      </c>
      <c r="C436" s="17">
        <v>3</v>
      </c>
      <c r="D436" s="22">
        <v>27.99</v>
      </c>
      <c r="E436" s="22">
        <v>83.97</v>
      </c>
      <c r="F436" s="17" t="s">
        <v>1203</v>
      </c>
      <c r="G436" s="16" t="s">
        <v>82</v>
      </c>
      <c r="H436" s="21" t="s">
        <v>40</v>
      </c>
      <c r="I436" s="16" t="s">
        <v>11</v>
      </c>
      <c r="J436" s="16" t="s">
        <v>266</v>
      </c>
      <c r="K436" s="16" t="s">
        <v>267</v>
      </c>
      <c r="L436" s="16"/>
      <c r="M436" s="16"/>
      <c r="N436" s="23" t="str">
        <f>HYPERLINK("http://slimages.macys.com/is/image/MCY/18532800 ")</f>
        <v xml:space="preserve">http://slimages.macys.com/is/image/MCY/18532800 </v>
      </c>
    </row>
    <row r="437" spans="1:14" x14ac:dyDescent="0.25">
      <c r="A437" s="21" t="s">
        <v>1201</v>
      </c>
      <c r="B437" s="16" t="s">
        <v>1202</v>
      </c>
      <c r="C437" s="17">
        <v>1</v>
      </c>
      <c r="D437" s="22">
        <v>27.99</v>
      </c>
      <c r="E437" s="22">
        <v>27.99</v>
      </c>
      <c r="F437" s="17" t="s">
        <v>1203</v>
      </c>
      <c r="G437" s="16" t="s">
        <v>82</v>
      </c>
      <c r="H437" s="21" t="s">
        <v>27</v>
      </c>
      <c r="I437" s="16" t="s">
        <v>11</v>
      </c>
      <c r="J437" s="16" t="s">
        <v>266</v>
      </c>
      <c r="K437" s="16" t="s">
        <v>267</v>
      </c>
      <c r="L437" s="16"/>
      <c r="M437" s="16"/>
      <c r="N437" s="23" t="str">
        <f>HYPERLINK("http://slimages.macys.com/is/image/MCY/18532343 ")</f>
        <v xml:space="preserve">http://slimages.macys.com/is/image/MCY/18532343 </v>
      </c>
    </row>
    <row r="438" spans="1:14" x14ac:dyDescent="0.25">
      <c r="A438" s="21" t="s">
        <v>2404</v>
      </c>
      <c r="B438" s="16" t="s">
        <v>2405</v>
      </c>
      <c r="C438" s="17">
        <v>1</v>
      </c>
      <c r="D438" s="22">
        <v>27.99</v>
      </c>
      <c r="E438" s="22">
        <v>27.99</v>
      </c>
      <c r="F438" s="17" t="s">
        <v>1203</v>
      </c>
      <c r="G438" s="16" t="s">
        <v>82</v>
      </c>
      <c r="H438" s="21" t="s">
        <v>87</v>
      </c>
      <c r="I438" s="16" t="s">
        <v>11</v>
      </c>
      <c r="J438" s="16" t="s">
        <v>266</v>
      </c>
      <c r="K438" s="16" t="s">
        <v>267</v>
      </c>
      <c r="L438" s="16"/>
      <c r="M438" s="16"/>
      <c r="N438" s="23" t="str">
        <f>HYPERLINK("http://slimages.macys.com/is/image/MCY/18532800 ")</f>
        <v xml:space="preserve">http://slimages.macys.com/is/image/MCY/18532800 </v>
      </c>
    </row>
    <row r="439" spans="1:14" x14ac:dyDescent="0.25">
      <c r="A439" s="21" t="s">
        <v>2431</v>
      </c>
      <c r="B439" s="16" t="s">
        <v>2432</v>
      </c>
      <c r="C439" s="17">
        <v>1</v>
      </c>
      <c r="D439" s="22">
        <v>17.989999999999998</v>
      </c>
      <c r="E439" s="22">
        <v>17.989999999999998</v>
      </c>
      <c r="F439" s="17" t="s">
        <v>312</v>
      </c>
      <c r="G439" s="16" t="s">
        <v>37</v>
      </c>
      <c r="H439" s="21" t="s">
        <v>27</v>
      </c>
      <c r="I439" s="16" t="s">
        <v>11</v>
      </c>
      <c r="J439" s="16" t="s">
        <v>266</v>
      </c>
      <c r="K439" s="16" t="s">
        <v>267</v>
      </c>
      <c r="L439" s="16"/>
      <c r="M439" s="16"/>
      <c r="N439" s="23" t="str">
        <f>HYPERLINK("http://slimages.macys.com/is/image/MCY/19278830 ")</f>
        <v xml:space="preserve">http://slimages.macys.com/is/image/MCY/19278830 </v>
      </c>
    </row>
    <row r="440" spans="1:14" x14ac:dyDescent="0.25">
      <c r="A440" s="21" t="s">
        <v>2360</v>
      </c>
      <c r="B440" s="16" t="s">
        <v>2361</v>
      </c>
      <c r="C440" s="17">
        <v>1</v>
      </c>
      <c r="D440" s="22">
        <v>39.99</v>
      </c>
      <c r="E440" s="22">
        <v>39.99</v>
      </c>
      <c r="F440" s="17" t="s">
        <v>1802</v>
      </c>
      <c r="G440" s="16" t="s">
        <v>78</v>
      </c>
      <c r="H440" s="21" t="s">
        <v>47</v>
      </c>
      <c r="I440" s="16" t="s">
        <v>11</v>
      </c>
      <c r="J440" s="16" t="s">
        <v>266</v>
      </c>
      <c r="K440" s="16" t="s">
        <v>267</v>
      </c>
      <c r="L440" s="16"/>
      <c r="M440" s="16"/>
      <c r="N440" s="23" t="str">
        <f>HYPERLINK("http://slimages.macys.com/is/image/MCY/19422149 ")</f>
        <v xml:space="preserve">http://slimages.macys.com/is/image/MCY/19422149 </v>
      </c>
    </row>
    <row r="441" spans="1:14" x14ac:dyDescent="0.25">
      <c r="A441" s="21" t="s">
        <v>2355</v>
      </c>
      <c r="B441" s="16" t="s">
        <v>2356</v>
      </c>
      <c r="C441" s="17">
        <v>1</v>
      </c>
      <c r="D441" s="22">
        <v>49.99</v>
      </c>
      <c r="E441" s="22">
        <v>49.99</v>
      </c>
      <c r="F441" s="17" t="s">
        <v>735</v>
      </c>
      <c r="G441" s="16" t="s">
        <v>137</v>
      </c>
      <c r="H441" s="21" t="s">
        <v>27</v>
      </c>
      <c r="I441" s="16" t="s">
        <v>11</v>
      </c>
      <c r="J441" s="16" t="s">
        <v>266</v>
      </c>
      <c r="K441" s="16" t="s">
        <v>267</v>
      </c>
      <c r="L441" s="16"/>
      <c r="M441" s="16"/>
      <c r="N441" s="23" t="str">
        <f>HYPERLINK("http://slimages.macys.com/is/image/MCY/18916224 ")</f>
        <v xml:space="preserve">http://slimages.macys.com/is/image/MCY/18916224 </v>
      </c>
    </row>
    <row r="442" spans="1:14" x14ac:dyDescent="0.25">
      <c r="A442" s="21" t="s">
        <v>2362</v>
      </c>
      <c r="B442" s="16" t="s">
        <v>2363</v>
      </c>
      <c r="C442" s="17">
        <v>1</v>
      </c>
      <c r="D442" s="22">
        <v>34.99</v>
      </c>
      <c r="E442" s="22">
        <v>34.99</v>
      </c>
      <c r="F442" s="17" t="s">
        <v>2364</v>
      </c>
      <c r="G442" s="16" t="s">
        <v>37</v>
      </c>
      <c r="H442" s="21" t="s">
        <v>40</v>
      </c>
      <c r="I442" s="16" t="s">
        <v>11</v>
      </c>
      <c r="J442" s="16" t="s">
        <v>266</v>
      </c>
      <c r="K442" s="16" t="s">
        <v>267</v>
      </c>
      <c r="L442" s="16"/>
      <c r="M442" s="16"/>
      <c r="N442" s="23" t="str">
        <f>HYPERLINK("http://slimages.macys.com/is/image/MCY/19422256 ")</f>
        <v xml:space="preserve">http://slimages.macys.com/is/image/MCY/19422256 </v>
      </c>
    </row>
    <row r="443" spans="1:14" x14ac:dyDescent="0.25">
      <c r="A443" s="21" t="s">
        <v>2382</v>
      </c>
      <c r="B443" s="16" t="s">
        <v>2383</v>
      </c>
      <c r="C443" s="17">
        <v>1</v>
      </c>
      <c r="D443" s="22">
        <v>32.99</v>
      </c>
      <c r="E443" s="22">
        <v>32.99</v>
      </c>
      <c r="F443" s="17" t="s">
        <v>2384</v>
      </c>
      <c r="G443" s="16" t="s">
        <v>62</v>
      </c>
      <c r="H443" s="21" t="s">
        <v>40</v>
      </c>
      <c r="I443" s="16" t="s">
        <v>11</v>
      </c>
      <c r="J443" s="16" t="s">
        <v>266</v>
      </c>
      <c r="K443" s="16" t="s">
        <v>267</v>
      </c>
      <c r="L443" s="16"/>
      <c r="M443" s="16"/>
      <c r="N443" s="23" t="str">
        <f>HYPERLINK("http://slimages.macys.com/is/image/MCY/18180264 ")</f>
        <v xml:space="preserve">http://slimages.macys.com/is/image/MCY/18180264 </v>
      </c>
    </row>
    <row r="444" spans="1:14" x14ac:dyDescent="0.25">
      <c r="A444" s="21" t="s">
        <v>2676</v>
      </c>
      <c r="B444" s="16" t="s">
        <v>2677</v>
      </c>
      <c r="C444" s="17">
        <v>1</v>
      </c>
      <c r="D444" s="22">
        <v>10</v>
      </c>
      <c r="E444" s="22">
        <v>10</v>
      </c>
      <c r="F444" s="17">
        <v>100133607</v>
      </c>
      <c r="G444" s="16" t="s">
        <v>78</v>
      </c>
      <c r="H444" s="21" t="s">
        <v>87</v>
      </c>
      <c r="I444" s="16" t="s">
        <v>11</v>
      </c>
      <c r="J444" s="16" t="s">
        <v>457</v>
      </c>
      <c r="K444" s="16" t="s">
        <v>459</v>
      </c>
      <c r="L444" s="16"/>
      <c r="M444" s="16"/>
      <c r="N444" s="23" t="str">
        <f>HYPERLINK("http://slimages.macys.com/is/image/MCY/19278650 ")</f>
        <v xml:space="preserve">http://slimages.macys.com/is/image/MCY/19278650 </v>
      </c>
    </row>
    <row r="445" spans="1:14" x14ac:dyDescent="0.25">
      <c r="A445" s="21" t="s">
        <v>867</v>
      </c>
      <c r="B445" s="16" t="s">
        <v>868</v>
      </c>
      <c r="C445" s="17">
        <v>2</v>
      </c>
      <c r="D445" s="22">
        <v>5.6</v>
      </c>
      <c r="E445" s="22">
        <v>11.2</v>
      </c>
      <c r="F445" s="17">
        <v>100110139</v>
      </c>
      <c r="G445" s="16" t="s">
        <v>76</v>
      </c>
      <c r="H445" s="21" t="s">
        <v>32</v>
      </c>
      <c r="I445" s="16" t="s">
        <v>11</v>
      </c>
      <c r="J445" s="16" t="s">
        <v>457</v>
      </c>
      <c r="K445" s="16" t="s">
        <v>459</v>
      </c>
      <c r="L445" s="16"/>
      <c r="M445" s="16"/>
      <c r="N445" s="23" t="str">
        <f>HYPERLINK("http://slimages.macys.com/is/image/MCY/19787476 ")</f>
        <v xml:space="preserve">http://slimages.macys.com/is/image/MCY/19787476 </v>
      </c>
    </row>
    <row r="446" spans="1:14" x14ac:dyDescent="0.25">
      <c r="A446" s="21" t="s">
        <v>869</v>
      </c>
      <c r="B446" s="16" t="s">
        <v>870</v>
      </c>
      <c r="C446" s="17">
        <v>1</v>
      </c>
      <c r="D446" s="22">
        <v>5.6</v>
      </c>
      <c r="E446" s="22">
        <v>5.6</v>
      </c>
      <c r="F446" s="17">
        <v>100110139</v>
      </c>
      <c r="G446" s="16" t="s">
        <v>76</v>
      </c>
      <c r="H446" s="21" t="s">
        <v>55</v>
      </c>
      <c r="I446" s="16" t="s">
        <v>11</v>
      </c>
      <c r="J446" s="16" t="s">
        <v>457</v>
      </c>
      <c r="K446" s="16" t="s">
        <v>459</v>
      </c>
      <c r="L446" s="16"/>
      <c r="M446" s="16"/>
      <c r="N446" s="23" t="str">
        <f>HYPERLINK("http://slimages.macys.com/is/image/MCY/19787476 ")</f>
        <v xml:space="preserve">http://slimages.macys.com/is/image/MCY/19787476 </v>
      </c>
    </row>
    <row r="447" spans="1:14" x14ac:dyDescent="0.25">
      <c r="A447" s="21" t="s">
        <v>865</v>
      </c>
      <c r="B447" s="16" t="s">
        <v>866</v>
      </c>
      <c r="C447" s="17">
        <v>1</v>
      </c>
      <c r="D447" s="22">
        <v>5.6</v>
      </c>
      <c r="E447" s="22">
        <v>5.6</v>
      </c>
      <c r="F447" s="17">
        <v>100110139</v>
      </c>
      <c r="G447" s="16" t="s">
        <v>76</v>
      </c>
      <c r="H447" s="21" t="s">
        <v>27</v>
      </c>
      <c r="I447" s="16" t="s">
        <v>11</v>
      </c>
      <c r="J447" s="16" t="s">
        <v>457</v>
      </c>
      <c r="K447" s="16" t="s">
        <v>459</v>
      </c>
      <c r="L447" s="16"/>
      <c r="M447" s="16"/>
      <c r="N447" s="23" t="str">
        <f>HYPERLINK("http://slimages.macys.com/is/image/MCY/19787476 ")</f>
        <v xml:space="preserve">http://slimages.macys.com/is/image/MCY/19787476 </v>
      </c>
    </row>
    <row r="448" spans="1:14" x14ac:dyDescent="0.25">
      <c r="A448" s="21" t="s">
        <v>873</v>
      </c>
      <c r="B448" s="16" t="s">
        <v>874</v>
      </c>
      <c r="C448" s="17">
        <v>1</v>
      </c>
      <c r="D448" s="22">
        <v>5.6</v>
      </c>
      <c r="E448" s="22">
        <v>5.6</v>
      </c>
      <c r="F448" s="17">
        <v>100110139</v>
      </c>
      <c r="G448" s="16" t="s">
        <v>76</v>
      </c>
      <c r="H448" s="21" t="s">
        <v>87</v>
      </c>
      <c r="I448" s="16" t="s">
        <v>11</v>
      </c>
      <c r="J448" s="16" t="s">
        <v>457</v>
      </c>
      <c r="K448" s="16" t="s">
        <v>459</v>
      </c>
      <c r="L448" s="16"/>
      <c r="M448" s="16"/>
      <c r="N448" s="23" t="str">
        <f>HYPERLINK("http://slimages.macys.com/is/image/MCY/19787476 ")</f>
        <v xml:space="preserve">http://slimages.macys.com/is/image/MCY/19787476 </v>
      </c>
    </row>
    <row r="449" spans="1:14" x14ac:dyDescent="0.25">
      <c r="A449" s="21" t="s">
        <v>845</v>
      </c>
      <c r="B449" s="16" t="s">
        <v>846</v>
      </c>
      <c r="C449" s="17">
        <v>4</v>
      </c>
      <c r="D449" s="22">
        <v>5.6</v>
      </c>
      <c r="E449" s="22">
        <v>22.4</v>
      </c>
      <c r="F449" s="17">
        <v>100137426</v>
      </c>
      <c r="G449" s="16" t="s">
        <v>202</v>
      </c>
      <c r="H449" s="21" t="s">
        <v>32</v>
      </c>
      <c r="I449" s="16" t="s">
        <v>11</v>
      </c>
      <c r="J449" s="16" t="s">
        <v>457</v>
      </c>
      <c r="K449" s="16" t="s">
        <v>459</v>
      </c>
      <c r="L449" s="16"/>
      <c r="M449" s="16"/>
      <c r="N449" s="23" t="str">
        <f t="shared" ref="N449:N454" si="5">HYPERLINK("http://slimages.macys.com/is/image/MCY/1040528 ")</f>
        <v xml:space="preserve">http://slimages.macys.com/is/image/MCY/1040528 </v>
      </c>
    </row>
    <row r="450" spans="1:14" x14ac:dyDescent="0.25">
      <c r="A450" s="21" t="s">
        <v>851</v>
      </c>
      <c r="B450" s="16" t="s">
        <v>852</v>
      </c>
      <c r="C450" s="17">
        <v>1</v>
      </c>
      <c r="D450" s="22">
        <v>5.6</v>
      </c>
      <c r="E450" s="22">
        <v>5.6</v>
      </c>
      <c r="F450" s="17">
        <v>100137426</v>
      </c>
      <c r="G450" s="16" t="s">
        <v>202</v>
      </c>
      <c r="H450" s="21" t="s">
        <v>40</v>
      </c>
      <c r="I450" s="16" t="s">
        <v>11</v>
      </c>
      <c r="J450" s="16" t="s">
        <v>457</v>
      </c>
      <c r="K450" s="16" t="s">
        <v>459</v>
      </c>
      <c r="L450" s="16"/>
      <c r="M450" s="16"/>
      <c r="N450" s="23" t="str">
        <f t="shared" si="5"/>
        <v xml:space="preserve">http://slimages.macys.com/is/image/MCY/1040528 </v>
      </c>
    </row>
    <row r="451" spans="1:14" x14ac:dyDescent="0.25">
      <c r="A451" s="21" t="s">
        <v>853</v>
      </c>
      <c r="B451" s="16" t="s">
        <v>854</v>
      </c>
      <c r="C451" s="17">
        <v>1</v>
      </c>
      <c r="D451" s="22">
        <v>5.6</v>
      </c>
      <c r="E451" s="22">
        <v>5.6</v>
      </c>
      <c r="F451" s="17">
        <v>100137426</v>
      </c>
      <c r="G451" s="16" t="s">
        <v>202</v>
      </c>
      <c r="H451" s="21" t="s">
        <v>55</v>
      </c>
      <c r="I451" s="16" t="s">
        <v>11</v>
      </c>
      <c r="J451" s="16" t="s">
        <v>457</v>
      </c>
      <c r="K451" s="16" t="s">
        <v>459</v>
      </c>
      <c r="L451" s="16"/>
      <c r="M451" s="16"/>
      <c r="N451" s="23" t="str">
        <f t="shared" si="5"/>
        <v xml:space="preserve">http://slimages.macys.com/is/image/MCY/1040528 </v>
      </c>
    </row>
    <row r="452" spans="1:14" x14ac:dyDescent="0.25">
      <c r="A452" s="21" t="s">
        <v>1103</v>
      </c>
      <c r="B452" s="16" t="s">
        <v>1104</v>
      </c>
      <c r="C452" s="17">
        <v>2</v>
      </c>
      <c r="D452" s="22">
        <v>5.6</v>
      </c>
      <c r="E452" s="22">
        <v>11.2</v>
      </c>
      <c r="F452" s="17">
        <v>100137426</v>
      </c>
      <c r="G452" s="16" t="s">
        <v>202</v>
      </c>
      <c r="H452" s="21" t="s">
        <v>27</v>
      </c>
      <c r="I452" s="16" t="s">
        <v>11</v>
      </c>
      <c r="J452" s="16" t="s">
        <v>457</v>
      </c>
      <c r="K452" s="16" t="s">
        <v>459</v>
      </c>
      <c r="L452" s="16"/>
      <c r="M452" s="16"/>
      <c r="N452" s="23" t="str">
        <f t="shared" si="5"/>
        <v xml:space="preserve">http://slimages.macys.com/is/image/MCY/1040528 </v>
      </c>
    </row>
    <row r="453" spans="1:14" x14ac:dyDescent="0.25">
      <c r="A453" s="21" t="s">
        <v>849</v>
      </c>
      <c r="B453" s="16" t="s">
        <v>850</v>
      </c>
      <c r="C453" s="17">
        <v>2</v>
      </c>
      <c r="D453" s="22">
        <v>5.6</v>
      </c>
      <c r="E453" s="22">
        <v>11.2</v>
      </c>
      <c r="F453" s="17">
        <v>100137426</v>
      </c>
      <c r="G453" s="16" t="s">
        <v>202</v>
      </c>
      <c r="H453" s="21" t="s">
        <v>87</v>
      </c>
      <c r="I453" s="16" t="s">
        <v>11</v>
      </c>
      <c r="J453" s="16" t="s">
        <v>457</v>
      </c>
      <c r="K453" s="16" t="s">
        <v>459</v>
      </c>
      <c r="L453" s="16"/>
      <c r="M453" s="16"/>
      <c r="N453" s="23" t="str">
        <f t="shared" si="5"/>
        <v xml:space="preserve">http://slimages.macys.com/is/image/MCY/1040528 </v>
      </c>
    </row>
    <row r="454" spans="1:14" x14ac:dyDescent="0.25">
      <c r="A454" s="21" t="s">
        <v>847</v>
      </c>
      <c r="B454" s="16" t="s">
        <v>848</v>
      </c>
      <c r="C454" s="17">
        <v>1</v>
      </c>
      <c r="D454" s="22">
        <v>5.6</v>
      </c>
      <c r="E454" s="22">
        <v>5.6</v>
      </c>
      <c r="F454" s="17">
        <v>100137426</v>
      </c>
      <c r="G454" s="16" t="s">
        <v>202</v>
      </c>
      <c r="H454" s="21"/>
      <c r="I454" s="16" t="s">
        <v>11</v>
      </c>
      <c r="J454" s="16" t="s">
        <v>457</v>
      </c>
      <c r="K454" s="16" t="s">
        <v>459</v>
      </c>
      <c r="L454" s="16"/>
      <c r="M454" s="16"/>
      <c r="N454" s="23" t="str">
        <f t="shared" si="5"/>
        <v xml:space="preserve">http://slimages.macys.com/is/image/MCY/1040528 </v>
      </c>
    </row>
    <row r="455" spans="1:14" x14ac:dyDescent="0.25">
      <c r="A455" s="21" t="s">
        <v>511</v>
      </c>
      <c r="B455" s="16" t="s">
        <v>512</v>
      </c>
      <c r="C455" s="17">
        <v>2</v>
      </c>
      <c r="D455" s="22">
        <v>5.6</v>
      </c>
      <c r="E455" s="22">
        <v>11.2</v>
      </c>
      <c r="F455" s="17">
        <v>100138182</v>
      </c>
      <c r="G455" s="16" t="s">
        <v>76</v>
      </c>
      <c r="H455" s="21" t="s">
        <v>32</v>
      </c>
      <c r="I455" s="16" t="s">
        <v>11</v>
      </c>
      <c r="J455" s="16" t="s">
        <v>457</v>
      </c>
      <c r="K455" s="16" t="s">
        <v>459</v>
      </c>
      <c r="L455" s="16"/>
      <c r="M455" s="16"/>
      <c r="N455" s="23" t="str">
        <f>HYPERLINK("http://slimages.macys.com/is/image/MCY/19787476 ")</f>
        <v xml:space="preserve">http://slimages.macys.com/is/image/MCY/19787476 </v>
      </c>
    </row>
    <row r="456" spans="1:14" x14ac:dyDescent="0.25">
      <c r="A456" s="21" t="s">
        <v>1711</v>
      </c>
      <c r="B456" s="16" t="s">
        <v>2691</v>
      </c>
      <c r="C456" s="17">
        <v>1</v>
      </c>
      <c r="D456" s="22">
        <v>5.6</v>
      </c>
      <c r="E456" s="22">
        <v>5.6</v>
      </c>
      <c r="F456" s="17">
        <v>100138182</v>
      </c>
      <c r="G456" s="16" t="s">
        <v>76</v>
      </c>
      <c r="H456" s="21" t="s">
        <v>55</v>
      </c>
      <c r="I456" s="16" t="s">
        <v>11</v>
      </c>
      <c r="J456" s="16" t="s">
        <v>457</v>
      </c>
      <c r="K456" s="16" t="s">
        <v>459</v>
      </c>
      <c r="L456" s="16"/>
      <c r="M456" s="16"/>
      <c r="N456" s="23" t="str">
        <f>HYPERLINK("http://slimages.macys.com/is/image/MCY/19787476 ")</f>
        <v xml:space="preserve">http://slimages.macys.com/is/image/MCY/19787476 </v>
      </c>
    </row>
    <row r="457" spans="1:14" x14ac:dyDescent="0.25">
      <c r="A457" s="21" t="s">
        <v>513</v>
      </c>
      <c r="B457" s="16" t="s">
        <v>514</v>
      </c>
      <c r="C457" s="17">
        <v>2</v>
      </c>
      <c r="D457" s="22">
        <v>5.6</v>
      </c>
      <c r="E457" s="22">
        <v>11.2</v>
      </c>
      <c r="F457" s="17">
        <v>100138182</v>
      </c>
      <c r="G457" s="16" t="s">
        <v>76</v>
      </c>
      <c r="H457" s="21" t="s">
        <v>27</v>
      </c>
      <c r="I457" s="16" t="s">
        <v>11</v>
      </c>
      <c r="J457" s="16" t="s">
        <v>457</v>
      </c>
      <c r="K457" s="16" t="s">
        <v>459</v>
      </c>
      <c r="L457" s="16"/>
      <c r="M457" s="16"/>
      <c r="N457" s="23" t="str">
        <f>HYPERLINK("http://slimages.macys.com/is/image/MCY/19787476 ")</f>
        <v xml:space="preserve">http://slimages.macys.com/is/image/MCY/19787476 </v>
      </c>
    </row>
    <row r="458" spans="1:14" x14ac:dyDescent="0.25">
      <c r="A458" s="21" t="s">
        <v>861</v>
      </c>
      <c r="B458" s="16" t="s">
        <v>862</v>
      </c>
      <c r="C458" s="17">
        <v>2</v>
      </c>
      <c r="D458" s="22">
        <v>5.6</v>
      </c>
      <c r="E458" s="22">
        <v>11.2</v>
      </c>
      <c r="F458" s="17">
        <v>100138182</v>
      </c>
      <c r="G458" s="16" t="s">
        <v>76</v>
      </c>
      <c r="H458" s="21" t="s">
        <v>87</v>
      </c>
      <c r="I458" s="16" t="s">
        <v>11</v>
      </c>
      <c r="J458" s="16" t="s">
        <v>457</v>
      </c>
      <c r="K458" s="16" t="s">
        <v>459</v>
      </c>
      <c r="L458" s="16"/>
      <c r="M458" s="16"/>
      <c r="N458" s="23" t="str">
        <f>HYPERLINK("http://slimages.macys.com/is/image/MCY/19787476 ")</f>
        <v xml:space="preserve">http://slimages.macys.com/is/image/MCY/19787476 </v>
      </c>
    </row>
    <row r="459" spans="1:14" x14ac:dyDescent="0.25">
      <c r="A459" s="21" t="s">
        <v>515</v>
      </c>
      <c r="B459" s="16" t="s">
        <v>516</v>
      </c>
      <c r="C459" s="17">
        <v>1</v>
      </c>
      <c r="D459" s="22">
        <v>5.6</v>
      </c>
      <c r="E459" s="22">
        <v>5.6</v>
      </c>
      <c r="F459" s="17">
        <v>100138182</v>
      </c>
      <c r="G459" s="16" t="s">
        <v>76</v>
      </c>
      <c r="H459" s="21"/>
      <c r="I459" s="16" t="s">
        <v>11</v>
      </c>
      <c r="J459" s="16" t="s">
        <v>457</v>
      </c>
      <c r="K459" s="16" t="s">
        <v>459</v>
      </c>
      <c r="L459" s="16"/>
      <c r="M459" s="16"/>
      <c r="N459" s="23" t="str">
        <f>HYPERLINK("http://slimages.macys.com/is/image/MCY/19787476 ")</f>
        <v xml:space="preserve">http://slimages.macys.com/is/image/MCY/19787476 </v>
      </c>
    </row>
    <row r="460" spans="1:14" x14ac:dyDescent="0.25">
      <c r="A460" s="21" t="s">
        <v>855</v>
      </c>
      <c r="B460" s="16" t="s">
        <v>856</v>
      </c>
      <c r="C460" s="17">
        <v>5</v>
      </c>
      <c r="D460" s="22">
        <v>5.6</v>
      </c>
      <c r="E460" s="22">
        <v>28</v>
      </c>
      <c r="F460" s="17">
        <v>100131487</v>
      </c>
      <c r="G460" s="16" t="s">
        <v>86</v>
      </c>
      <c r="H460" s="21" t="s">
        <v>32</v>
      </c>
      <c r="I460" s="16" t="s">
        <v>11</v>
      </c>
      <c r="J460" s="16" t="s">
        <v>457</v>
      </c>
      <c r="K460" s="16" t="s">
        <v>459</v>
      </c>
      <c r="L460" s="16"/>
      <c r="M460" s="16"/>
      <c r="N460" s="23" t="str">
        <f>HYPERLINK("http://slimages.macys.com/is/image/MCY/19918595 ")</f>
        <v xml:space="preserve">http://slimages.macys.com/is/image/MCY/19918595 </v>
      </c>
    </row>
    <row r="461" spans="1:14" x14ac:dyDescent="0.25">
      <c r="A461" s="21" t="s">
        <v>857</v>
      </c>
      <c r="B461" s="16" t="s">
        <v>858</v>
      </c>
      <c r="C461" s="17">
        <v>1</v>
      </c>
      <c r="D461" s="22">
        <v>5.6</v>
      </c>
      <c r="E461" s="22">
        <v>5.6</v>
      </c>
      <c r="F461" s="17">
        <v>100131487</v>
      </c>
      <c r="G461" s="16" t="s">
        <v>86</v>
      </c>
      <c r="H461" s="21" t="s">
        <v>55</v>
      </c>
      <c r="I461" s="16" t="s">
        <v>11</v>
      </c>
      <c r="J461" s="16" t="s">
        <v>457</v>
      </c>
      <c r="K461" s="16" t="s">
        <v>459</v>
      </c>
      <c r="L461" s="16"/>
      <c r="M461" s="16"/>
      <c r="N461" s="23" t="str">
        <f>HYPERLINK("http://slimages.macys.com/is/image/MCY/19918595 ")</f>
        <v xml:space="preserve">http://slimages.macys.com/is/image/MCY/19918595 </v>
      </c>
    </row>
    <row r="462" spans="1:14" x14ac:dyDescent="0.25">
      <c r="A462" s="21" t="s">
        <v>859</v>
      </c>
      <c r="B462" s="16" t="s">
        <v>860</v>
      </c>
      <c r="C462" s="17">
        <v>1</v>
      </c>
      <c r="D462" s="22">
        <v>5.6</v>
      </c>
      <c r="E462" s="22">
        <v>5.6</v>
      </c>
      <c r="F462" s="17">
        <v>100131487</v>
      </c>
      <c r="G462" s="16" t="s">
        <v>86</v>
      </c>
      <c r="H462" s="21" t="s">
        <v>87</v>
      </c>
      <c r="I462" s="16" t="s">
        <v>11</v>
      </c>
      <c r="J462" s="16" t="s">
        <v>457</v>
      </c>
      <c r="K462" s="16" t="s">
        <v>459</v>
      </c>
      <c r="L462" s="16"/>
      <c r="M462" s="16"/>
      <c r="N462" s="23" t="str">
        <f>HYPERLINK("http://slimages.macys.com/is/image/MCY/19918595 ")</f>
        <v xml:space="preserve">http://slimages.macys.com/is/image/MCY/19918595 </v>
      </c>
    </row>
    <row r="463" spans="1:14" x14ac:dyDescent="0.25">
      <c r="A463" s="21" t="s">
        <v>509</v>
      </c>
      <c r="B463" s="16" t="s">
        <v>510</v>
      </c>
      <c r="C463" s="17">
        <v>1</v>
      </c>
      <c r="D463" s="22">
        <v>5.6</v>
      </c>
      <c r="E463" s="22">
        <v>5.6</v>
      </c>
      <c r="F463" s="17">
        <v>100131487</v>
      </c>
      <c r="G463" s="16" t="s">
        <v>86</v>
      </c>
      <c r="H463" s="21"/>
      <c r="I463" s="16" t="s">
        <v>11</v>
      </c>
      <c r="J463" s="16" t="s">
        <v>457</v>
      </c>
      <c r="K463" s="16" t="s">
        <v>459</v>
      </c>
      <c r="L463" s="16"/>
      <c r="M463" s="16"/>
      <c r="N463" s="23" t="str">
        <f>HYPERLINK("http://slimages.macys.com/is/image/MCY/19918595 ")</f>
        <v xml:space="preserve">http://slimages.macys.com/is/image/MCY/19918595 </v>
      </c>
    </row>
    <row r="464" spans="1:14" x14ac:dyDescent="0.25">
      <c r="A464" s="21" t="s">
        <v>811</v>
      </c>
      <c r="B464" s="16" t="s">
        <v>812</v>
      </c>
      <c r="C464" s="17">
        <v>2</v>
      </c>
      <c r="D464" s="22">
        <v>10</v>
      </c>
      <c r="E464" s="22">
        <v>20</v>
      </c>
      <c r="F464" s="17">
        <v>100133613</v>
      </c>
      <c r="G464" s="16" t="s">
        <v>270</v>
      </c>
      <c r="H464" s="21" t="s">
        <v>32</v>
      </c>
      <c r="I464" s="16" t="s">
        <v>11</v>
      </c>
      <c r="J464" s="16" t="s">
        <v>457</v>
      </c>
      <c r="K464" s="16" t="s">
        <v>459</v>
      </c>
      <c r="L464" s="16"/>
      <c r="M464" s="16"/>
      <c r="N464" s="23" t="str">
        <f>HYPERLINK("http://slimages.macys.com/is/image/MCY/19877645 ")</f>
        <v xml:space="preserve">http://slimages.macys.com/is/image/MCY/19877645 </v>
      </c>
    </row>
    <row r="465" spans="1:14" x14ac:dyDescent="0.25">
      <c r="A465" s="21" t="s">
        <v>807</v>
      </c>
      <c r="B465" s="16" t="s">
        <v>808</v>
      </c>
      <c r="C465" s="17">
        <v>2</v>
      </c>
      <c r="D465" s="22">
        <v>10</v>
      </c>
      <c r="E465" s="22">
        <v>20</v>
      </c>
      <c r="F465" s="17">
        <v>100133613</v>
      </c>
      <c r="G465" s="16" t="s">
        <v>270</v>
      </c>
      <c r="H465" s="21"/>
      <c r="I465" s="16" t="s">
        <v>11</v>
      </c>
      <c r="J465" s="16" t="s">
        <v>457</v>
      </c>
      <c r="K465" s="16" t="s">
        <v>459</v>
      </c>
      <c r="L465" s="16"/>
      <c r="M465" s="16"/>
      <c r="N465" s="23" t="str">
        <f>HYPERLINK("http://slimages.macys.com/is/image/MCY/19877645 ")</f>
        <v xml:space="preserve">http://slimages.macys.com/is/image/MCY/19877645 </v>
      </c>
    </row>
    <row r="466" spans="1:14" x14ac:dyDescent="0.25">
      <c r="A466" s="21" t="s">
        <v>480</v>
      </c>
      <c r="B466" s="16" t="s">
        <v>481</v>
      </c>
      <c r="C466" s="17">
        <v>3</v>
      </c>
      <c r="D466" s="22">
        <v>10</v>
      </c>
      <c r="E466" s="22">
        <v>30</v>
      </c>
      <c r="F466" s="17">
        <v>100133610</v>
      </c>
      <c r="G466" s="16" t="s">
        <v>120</v>
      </c>
      <c r="H466" s="21" t="s">
        <v>27</v>
      </c>
      <c r="I466" s="16" t="s">
        <v>11</v>
      </c>
      <c r="J466" s="16" t="s">
        <v>457</v>
      </c>
      <c r="K466" s="16" t="s">
        <v>459</v>
      </c>
      <c r="L466" s="16"/>
      <c r="M466" s="16"/>
      <c r="N466" s="23" t="str">
        <f>HYPERLINK("http://slimages.macys.com/is/image/MCY/19278693 ")</f>
        <v xml:space="preserve">http://slimages.macys.com/is/image/MCY/19278693 </v>
      </c>
    </row>
    <row r="467" spans="1:14" x14ac:dyDescent="0.25">
      <c r="A467" s="21" t="s">
        <v>1710</v>
      </c>
      <c r="B467" s="16" t="s">
        <v>1781</v>
      </c>
      <c r="C467" s="17">
        <v>2</v>
      </c>
      <c r="D467" s="22">
        <v>10</v>
      </c>
      <c r="E467" s="22">
        <v>20</v>
      </c>
      <c r="F467" s="17">
        <v>100133610</v>
      </c>
      <c r="G467" s="16" t="s">
        <v>120</v>
      </c>
      <c r="H467" s="21" t="s">
        <v>87</v>
      </c>
      <c r="I467" s="16" t="s">
        <v>11</v>
      </c>
      <c r="J467" s="16" t="s">
        <v>457</v>
      </c>
      <c r="K467" s="16" t="s">
        <v>459</v>
      </c>
      <c r="L467" s="16"/>
      <c r="M467" s="16"/>
      <c r="N467" s="23" t="str">
        <f>HYPERLINK("http://slimages.macys.com/is/image/MCY/19278693 ")</f>
        <v xml:space="preserve">http://slimages.macys.com/is/image/MCY/19278693 </v>
      </c>
    </row>
    <row r="468" spans="1:14" x14ac:dyDescent="0.25">
      <c r="A468" s="21" t="s">
        <v>478</v>
      </c>
      <c r="B468" s="16" t="s">
        <v>479</v>
      </c>
      <c r="C468" s="17">
        <v>3</v>
      </c>
      <c r="D468" s="22">
        <v>10</v>
      </c>
      <c r="E468" s="22">
        <v>30</v>
      </c>
      <c r="F468" s="17">
        <v>100133610</v>
      </c>
      <c r="G468" s="16" t="s">
        <v>120</v>
      </c>
      <c r="H468" s="21"/>
      <c r="I468" s="16" t="s">
        <v>11</v>
      </c>
      <c r="J468" s="16" t="s">
        <v>457</v>
      </c>
      <c r="K468" s="16" t="s">
        <v>459</v>
      </c>
      <c r="L468" s="16"/>
      <c r="M468" s="16"/>
      <c r="N468" s="23" t="str">
        <f t="shared" ref="N468:N484" si="6">HYPERLINK("http://slimages.macys.com/is/image/MCY/19877645 ")</f>
        <v xml:space="preserve">http://slimages.macys.com/is/image/MCY/19877645 </v>
      </c>
    </row>
    <row r="469" spans="1:14" x14ac:dyDescent="0.25">
      <c r="A469" s="21" t="s">
        <v>1087</v>
      </c>
      <c r="B469" s="16" t="s">
        <v>1088</v>
      </c>
      <c r="C469" s="17">
        <v>2</v>
      </c>
      <c r="D469" s="22">
        <v>10</v>
      </c>
      <c r="E469" s="22">
        <v>20</v>
      </c>
      <c r="F469" s="17">
        <v>100133610</v>
      </c>
      <c r="G469" s="16" t="s">
        <v>205</v>
      </c>
      <c r="H469" s="21" t="s">
        <v>32</v>
      </c>
      <c r="I469" s="16" t="s">
        <v>11</v>
      </c>
      <c r="J469" s="16" t="s">
        <v>457</v>
      </c>
      <c r="K469" s="16" t="s">
        <v>459</v>
      </c>
      <c r="L469" s="16"/>
      <c r="M469" s="16"/>
      <c r="N469" s="23" t="str">
        <f t="shared" si="6"/>
        <v xml:space="preserve">http://slimages.macys.com/is/image/MCY/19877645 </v>
      </c>
    </row>
    <row r="470" spans="1:14" x14ac:dyDescent="0.25">
      <c r="A470" s="21" t="s">
        <v>1375</v>
      </c>
      <c r="B470" s="16" t="s">
        <v>1376</v>
      </c>
      <c r="C470" s="17">
        <v>1</v>
      </c>
      <c r="D470" s="22">
        <v>10</v>
      </c>
      <c r="E470" s="22">
        <v>10</v>
      </c>
      <c r="F470" s="17">
        <v>100133610</v>
      </c>
      <c r="G470" s="16" t="s">
        <v>205</v>
      </c>
      <c r="H470" s="21" t="s">
        <v>40</v>
      </c>
      <c r="I470" s="16" t="s">
        <v>11</v>
      </c>
      <c r="J470" s="16" t="s">
        <v>457</v>
      </c>
      <c r="K470" s="16" t="s">
        <v>459</v>
      </c>
      <c r="L470" s="16"/>
      <c r="M470" s="16"/>
      <c r="N470" s="23" t="str">
        <f t="shared" si="6"/>
        <v xml:space="preserve">http://slimages.macys.com/is/image/MCY/19877645 </v>
      </c>
    </row>
    <row r="471" spans="1:14" x14ac:dyDescent="0.25">
      <c r="A471" s="21" t="s">
        <v>470</v>
      </c>
      <c r="B471" s="16" t="s">
        <v>471</v>
      </c>
      <c r="C471" s="17">
        <v>1</v>
      </c>
      <c r="D471" s="22">
        <v>10</v>
      </c>
      <c r="E471" s="22">
        <v>10</v>
      </c>
      <c r="F471" s="17">
        <v>100133610</v>
      </c>
      <c r="G471" s="16" t="s">
        <v>205</v>
      </c>
      <c r="H471" s="21" t="s">
        <v>87</v>
      </c>
      <c r="I471" s="16" t="s">
        <v>11</v>
      </c>
      <c r="J471" s="16" t="s">
        <v>457</v>
      </c>
      <c r="K471" s="16" t="s">
        <v>459</v>
      </c>
      <c r="L471" s="16"/>
      <c r="M471" s="16"/>
      <c r="N471" s="23" t="str">
        <f t="shared" si="6"/>
        <v xml:space="preserve">http://slimages.macys.com/is/image/MCY/19877645 </v>
      </c>
    </row>
    <row r="472" spans="1:14" x14ac:dyDescent="0.25">
      <c r="A472" s="21" t="s">
        <v>472</v>
      </c>
      <c r="B472" s="16" t="s">
        <v>473</v>
      </c>
      <c r="C472" s="17">
        <v>1</v>
      </c>
      <c r="D472" s="22">
        <v>10</v>
      </c>
      <c r="E472" s="22">
        <v>10</v>
      </c>
      <c r="F472" s="17">
        <v>100133610</v>
      </c>
      <c r="G472" s="16" t="s">
        <v>205</v>
      </c>
      <c r="H472" s="21"/>
      <c r="I472" s="16" t="s">
        <v>11</v>
      </c>
      <c r="J472" s="16" t="s">
        <v>457</v>
      </c>
      <c r="K472" s="16" t="s">
        <v>459</v>
      </c>
      <c r="L472" s="16"/>
      <c r="M472" s="16"/>
      <c r="N472" s="23" t="str">
        <f t="shared" si="6"/>
        <v xml:space="preserve">http://slimages.macys.com/is/image/MCY/19877645 </v>
      </c>
    </row>
    <row r="473" spans="1:14" x14ac:dyDescent="0.25">
      <c r="A473" s="21" t="s">
        <v>466</v>
      </c>
      <c r="B473" s="16" t="s">
        <v>467</v>
      </c>
      <c r="C473" s="17">
        <v>2</v>
      </c>
      <c r="D473" s="22">
        <v>10</v>
      </c>
      <c r="E473" s="22">
        <v>20</v>
      </c>
      <c r="F473" s="17">
        <v>100133611</v>
      </c>
      <c r="G473" s="16" t="s">
        <v>78</v>
      </c>
      <c r="H473" s="21" t="s">
        <v>55</v>
      </c>
      <c r="I473" s="16" t="s">
        <v>11</v>
      </c>
      <c r="J473" s="16" t="s">
        <v>457</v>
      </c>
      <c r="K473" s="16" t="s">
        <v>459</v>
      </c>
      <c r="L473" s="16"/>
      <c r="M473" s="16"/>
      <c r="N473" s="23" t="str">
        <f t="shared" si="6"/>
        <v xml:space="preserve">http://slimages.macys.com/is/image/MCY/19877645 </v>
      </c>
    </row>
    <row r="474" spans="1:14" x14ac:dyDescent="0.25">
      <c r="A474" s="21" t="s">
        <v>464</v>
      </c>
      <c r="B474" s="16" t="s">
        <v>465</v>
      </c>
      <c r="C474" s="17">
        <v>1</v>
      </c>
      <c r="D474" s="22">
        <v>10</v>
      </c>
      <c r="E474" s="22">
        <v>10</v>
      </c>
      <c r="F474" s="17">
        <v>100133611</v>
      </c>
      <c r="G474" s="16" t="s">
        <v>78</v>
      </c>
      <c r="H474" s="21"/>
      <c r="I474" s="16" t="s">
        <v>11</v>
      </c>
      <c r="J474" s="16" t="s">
        <v>457</v>
      </c>
      <c r="K474" s="16" t="s">
        <v>459</v>
      </c>
      <c r="L474" s="16"/>
      <c r="M474" s="16"/>
      <c r="N474" s="23" t="str">
        <f t="shared" si="6"/>
        <v xml:space="preserve">http://slimages.macys.com/is/image/MCY/19877645 </v>
      </c>
    </row>
    <row r="475" spans="1:14" x14ac:dyDescent="0.25">
      <c r="A475" s="21" t="s">
        <v>815</v>
      </c>
      <c r="B475" s="16" t="s">
        <v>816</v>
      </c>
      <c r="C475" s="17">
        <v>1</v>
      </c>
      <c r="D475" s="22">
        <v>10</v>
      </c>
      <c r="E475" s="22">
        <v>10</v>
      </c>
      <c r="F475" s="17">
        <v>100133610</v>
      </c>
      <c r="G475" s="16" t="s">
        <v>104</v>
      </c>
      <c r="H475" s="21"/>
      <c r="I475" s="16" t="s">
        <v>11</v>
      </c>
      <c r="J475" s="16" t="s">
        <v>457</v>
      </c>
      <c r="K475" s="16" t="s">
        <v>459</v>
      </c>
      <c r="L475" s="16"/>
      <c r="M475" s="16"/>
      <c r="N475" s="23" t="str">
        <f t="shared" si="6"/>
        <v xml:space="preserve">http://slimages.macys.com/is/image/MCY/19877645 </v>
      </c>
    </row>
    <row r="476" spans="1:14" x14ac:dyDescent="0.25">
      <c r="A476" s="21" t="s">
        <v>1069</v>
      </c>
      <c r="B476" s="16" t="s">
        <v>1070</v>
      </c>
      <c r="C476" s="17">
        <v>1</v>
      </c>
      <c r="D476" s="22">
        <v>10</v>
      </c>
      <c r="E476" s="22">
        <v>10</v>
      </c>
      <c r="F476" s="17">
        <v>100133612</v>
      </c>
      <c r="G476" s="16" t="s">
        <v>86</v>
      </c>
      <c r="H476" s="21" t="s">
        <v>32</v>
      </c>
      <c r="I476" s="16" t="s">
        <v>11</v>
      </c>
      <c r="J476" s="16" t="s">
        <v>457</v>
      </c>
      <c r="K476" s="16" t="s">
        <v>459</v>
      </c>
      <c r="L476" s="16"/>
      <c r="M476" s="16"/>
      <c r="N476" s="23" t="str">
        <f t="shared" si="6"/>
        <v xml:space="preserve">http://slimages.macys.com/is/image/MCY/19877645 </v>
      </c>
    </row>
    <row r="477" spans="1:14" x14ac:dyDescent="0.25">
      <c r="A477" s="21" t="s">
        <v>805</v>
      </c>
      <c r="B477" s="16" t="s">
        <v>806</v>
      </c>
      <c r="C477" s="17">
        <v>1</v>
      </c>
      <c r="D477" s="22">
        <v>10</v>
      </c>
      <c r="E477" s="22">
        <v>10</v>
      </c>
      <c r="F477" s="17">
        <v>100133612</v>
      </c>
      <c r="G477" s="16" t="s">
        <v>86</v>
      </c>
      <c r="H477" s="21" t="s">
        <v>27</v>
      </c>
      <c r="I477" s="16" t="s">
        <v>11</v>
      </c>
      <c r="J477" s="16" t="s">
        <v>457</v>
      </c>
      <c r="K477" s="16" t="s">
        <v>459</v>
      </c>
      <c r="L477" s="16"/>
      <c r="M477" s="16"/>
      <c r="N477" s="23" t="str">
        <f t="shared" si="6"/>
        <v xml:space="preserve">http://slimages.macys.com/is/image/MCY/19877645 </v>
      </c>
    </row>
    <row r="478" spans="1:14" x14ac:dyDescent="0.25">
      <c r="A478" s="21" t="s">
        <v>809</v>
      </c>
      <c r="B478" s="16" t="s">
        <v>810</v>
      </c>
      <c r="C478" s="17">
        <v>2</v>
      </c>
      <c r="D478" s="22">
        <v>10</v>
      </c>
      <c r="E478" s="22">
        <v>20</v>
      </c>
      <c r="F478" s="17">
        <v>100133612</v>
      </c>
      <c r="G478" s="16" t="s">
        <v>86</v>
      </c>
      <c r="H478" s="21"/>
      <c r="I478" s="16" t="s">
        <v>11</v>
      </c>
      <c r="J478" s="16" t="s">
        <v>457</v>
      </c>
      <c r="K478" s="16" t="s">
        <v>459</v>
      </c>
      <c r="L478" s="16"/>
      <c r="M478" s="16"/>
      <c r="N478" s="23" t="str">
        <f t="shared" si="6"/>
        <v xml:space="preserve">http://slimages.macys.com/is/image/MCY/19877645 </v>
      </c>
    </row>
    <row r="479" spans="1:14" x14ac:dyDescent="0.25">
      <c r="A479" s="21" t="s">
        <v>813</v>
      </c>
      <c r="B479" s="16" t="s">
        <v>814</v>
      </c>
      <c r="C479" s="17">
        <v>2</v>
      </c>
      <c r="D479" s="22">
        <v>10</v>
      </c>
      <c r="E479" s="22">
        <v>20</v>
      </c>
      <c r="F479" s="17">
        <v>100137424</v>
      </c>
      <c r="G479" s="16" t="s">
        <v>78</v>
      </c>
      <c r="H479" s="21" t="s">
        <v>32</v>
      </c>
      <c r="I479" s="16" t="s">
        <v>11</v>
      </c>
      <c r="J479" s="16" t="s">
        <v>457</v>
      </c>
      <c r="K479" s="16" t="s">
        <v>459</v>
      </c>
      <c r="L479" s="16"/>
      <c r="M479" s="16"/>
      <c r="N479" s="23" t="str">
        <f t="shared" si="6"/>
        <v xml:space="preserve">http://slimages.macys.com/is/image/MCY/19877645 </v>
      </c>
    </row>
    <row r="480" spans="1:14" x14ac:dyDescent="0.25">
      <c r="A480" s="21" t="s">
        <v>1709</v>
      </c>
      <c r="B480" s="16" t="s">
        <v>2680</v>
      </c>
      <c r="C480" s="17">
        <v>1</v>
      </c>
      <c r="D480" s="22">
        <v>10</v>
      </c>
      <c r="E480" s="22">
        <v>10</v>
      </c>
      <c r="F480" s="17">
        <v>100137424</v>
      </c>
      <c r="G480" s="16" t="s">
        <v>78</v>
      </c>
      <c r="H480" s="21" t="s">
        <v>40</v>
      </c>
      <c r="I480" s="16" t="s">
        <v>11</v>
      </c>
      <c r="J480" s="16" t="s">
        <v>457</v>
      </c>
      <c r="K480" s="16" t="s">
        <v>459</v>
      </c>
      <c r="L480" s="16"/>
      <c r="M480" s="16"/>
      <c r="N480" s="23" t="str">
        <f t="shared" si="6"/>
        <v xml:space="preserve">http://slimages.macys.com/is/image/MCY/19877645 </v>
      </c>
    </row>
    <row r="481" spans="1:14" x14ac:dyDescent="0.25">
      <c r="A481" s="21" t="s">
        <v>2678</v>
      </c>
      <c r="B481" s="16" t="s">
        <v>2679</v>
      </c>
      <c r="C481" s="17">
        <v>1</v>
      </c>
      <c r="D481" s="22">
        <v>10</v>
      </c>
      <c r="E481" s="22">
        <v>10</v>
      </c>
      <c r="F481" s="17">
        <v>100137424</v>
      </c>
      <c r="G481" s="16" t="s">
        <v>78</v>
      </c>
      <c r="H481" s="21" t="s">
        <v>55</v>
      </c>
      <c r="I481" s="16" t="s">
        <v>11</v>
      </c>
      <c r="J481" s="16" t="s">
        <v>457</v>
      </c>
      <c r="K481" s="16" t="s">
        <v>459</v>
      </c>
      <c r="L481" s="16"/>
      <c r="M481" s="16"/>
      <c r="N481" s="23" t="str">
        <f t="shared" si="6"/>
        <v xml:space="preserve">http://slimages.macys.com/is/image/MCY/19877645 </v>
      </c>
    </row>
    <row r="482" spans="1:14" x14ac:dyDescent="0.25">
      <c r="A482" s="21" t="s">
        <v>1073</v>
      </c>
      <c r="B482" s="16" t="s">
        <v>1074</v>
      </c>
      <c r="C482" s="17">
        <v>2</v>
      </c>
      <c r="D482" s="22">
        <v>10</v>
      </c>
      <c r="E482" s="22">
        <v>20</v>
      </c>
      <c r="F482" s="17">
        <v>100137424</v>
      </c>
      <c r="G482" s="16" t="s">
        <v>78</v>
      </c>
      <c r="H482" s="21" t="s">
        <v>27</v>
      </c>
      <c r="I482" s="16" t="s">
        <v>11</v>
      </c>
      <c r="J482" s="16" t="s">
        <v>457</v>
      </c>
      <c r="K482" s="16" t="s">
        <v>459</v>
      </c>
      <c r="L482" s="16"/>
      <c r="M482" s="16"/>
      <c r="N482" s="23" t="str">
        <f t="shared" si="6"/>
        <v xml:space="preserve">http://slimages.macys.com/is/image/MCY/19877645 </v>
      </c>
    </row>
    <row r="483" spans="1:14" x14ac:dyDescent="0.25">
      <c r="A483" s="21" t="s">
        <v>1071</v>
      </c>
      <c r="B483" s="16" t="s">
        <v>1072</v>
      </c>
      <c r="C483" s="17">
        <v>1</v>
      </c>
      <c r="D483" s="22">
        <v>10</v>
      </c>
      <c r="E483" s="22">
        <v>10</v>
      </c>
      <c r="F483" s="17">
        <v>100137424</v>
      </c>
      <c r="G483" s="16" t="s">
        <v>78</v>
      </c>
      <c r="H483" s="21" t="s">
        <v>87</v>
      </c>
      <c r="I483" s="16" t="s">
        <v>11</v>
      </c>
      <c r="J483" s="16" t="s">
        <v>457</v>
      </c>
      <c r="K483" s="16" t="s">
        <v>459</v>
      </c>
      <c r="L483" s="16"/>
      <c r="M483" s="16"/>
      <c r="N483" s="23" t="str">
        <f t="shared" si="6"/>
        <v xml:space="preserve">http://slimages.macys.com/is/image/MCY/19877645 </v>
      </c>
    </row>
    <row r="484" spans="1:14" x14ac:dyDescent="0.25">
      <c r="A484" s="21" t="s">
        <v>468</v>
      </c>
      <c r="B484" s="16" t="s">
        <v>469</v>
      </c>
      <c r="C484" s="17">
        <v>2</v>
      </c>
      <c r="D484" s="22">
        <v>10</v>
      </c>
      <c r="E484" s="22">
        <v>20</v>
      </c>
      <c r="F484" s="17">
        <v>100137424</v>
      </c>
      <c r="G484" s="16" t="s">
        <v>78</v>
      </c>
      <c r="H484" s="21"/>
      <c r="I484" s="16" t="s">
        <v>11</v>
      </c>
      <c r="J484" s="16" t="s">
        <v>457</v>
      </c>
      <c r="K484" s="16" t="s">
        <v>459</v>
      </c>
      <c r="L484" s="16"/>
      <c r="M484" s="16"/>
      <c r="N484" s="23" t="str">
        <f t="shared" si="6"/>
        <v xml:space="preserve">http://slimages.macys.com/is/image/MCY/19877645 </v>
      </c>
    </row>
    <row r="485" spans="1:14" x14ac:dyDescent="0.25">
      <c r="A485" s="21" t="s">
        <v>1373</v>
      </c>
      <c r="B485" s="16" t="s">
        <v>1374</v>
      </c>
      <c r="C485" s="17">
        <v>1</v>
      </c>
      <c r="D485" s="22">
        <v>10</v>
      </c>
      <c r="E485" s="22">
        <v>10</v>
      </c>
      <c r="F485" s="17">
        <v>100132110</v>
      </c>
      <c r="G485" s="16" t="s">
        <v>76</v>
      </c>
      <c r="H485" s="21" t="s">
        <v>40</v>
      </c>
      <c r="I485" s="16" t="s">
        <v>11</v>
      </c>
      <c r="J485" s="16" t="s">
        <v>457</v>
      </c>
      <c r="K485" s="16" t="s">
        <v>459</v>
      </c>
      <c r="L485" s="16"/>
      <c r="M485" s="16"/>
      <c r="N485" s="23" t="str">
        <f>HYPERLINK("http://slimages.macys.com/is/image/MCY/19278691 ")</f>
        <v xml:space="preserve">http://slimages.macys.com/is/image/MCY/19278691 </v>
      </c>
    </row>
    <row r="486" spans="1:14" x14ac:dyDescent="0.25">
      <c r="A486" s="21" t="s">
        <v>795</v>
      </c>
      <c r="B486" s="16" t="s">
        <v>796</v>
      </c>
      <c r="C486" s="17">
        <v>2</v>
      </c>
      <c r="D486" s="22">
        <v>10</v>
      </c>
      <c r="E486" s="22">
        <v>20</v>
      </c>
      <c r="F486" s="17">
        <v>100132110</v>
      </c>
      <c r="G486" s="16" t="s">
        <v>76</v>
      </c>
      <c r="H486" s="21"/>
      <c r="I486" s="16" t="s">
        <v>11</v>
      </c>
      <c r="J486" s="16" t="s">
        <v>457</v>
      </c>
      <c r="K486" s="16" t="s">
        <v>459</v>
      </c>
      <c r="L486" s="16"/>
      <c r="M486" s="16"/>
      <c r="N486" s="23" t="str">
        <f>HYPERLINK("http://slimages.macys.com/is/image/MCY/19278685 ")</f>
        <v xml:space="preserve">http://slimages.macys.com/is/image/MCY/19278685 </v>
      </c>
    </row>
    <row r="487" spans="1:14" x14ac:dyDescent="0.25">
      <c r="A487" s="21" t="s">
        <v>827</v>
      </c>
      <c r="B487" s="16" t="s">
        <v>828</v>
      </c>
      <c r="C487" s="17">
        <v>2</v>
      </c>
      <c r="D487" s="22">
        <v>10</v>
      </c>
      <c r="E487" s="22">
        <v>20</v>
      </c>
      <c r="F487" s="17">
        <v>100132111</v>
      </c>
      <c r="G487" s="16" t="s">
        <v>76</v>
      </c>
      <c r="H487" s="21" t="s">
        <v>32</v>
      </c>
      <c r="I487" s="16" t="s">
        <v>11</v>
      </c>
      <c r="J487" s="16" t="s">
        <v>457</v>
      </c>
      <c r="K487" s="16" t="s">
        <v>459</v>
      </c>
      <c r="L487" s="16"/>
      <c r="M487" s="16"/>
      <c r="N487" s="23" t="str">
        <f>HYPERLINK("http://slimages.macys.com/is/image/MCY/19278703 ")</f>
        <v xml:space="preserve">http://slimages.macys.com/is/image/MCY/19278703 </v>
      </c>
    </row>
    <row r="488" spans="1:14" x14ac:dyDescent="0.25">
      <c r="A488" s="21" t="s">
        <v>823</v>
      </c>
      <c r="B488" s="16" t="s">
        <v>824</v>
      </c>
      <c r="C488" s="17">
        <v>2</v>
      </c>
      <c r="D488" s="22">
        <v>10</v>
      </c>
      <c r="E488" s="22">
        <v>20</v>
      </c>
      <c r="F488" s="17">
        <v>100132111</v>
      </c>
      <c r="G488" s="16" t="s">
        <v>76</v>
      </c>
      <c r="H488" s="21" t="s">
        <v>27</v>
      </c>
      <c r="I488" s="16" t="s">
        <v>11</v>
      </c>
      <c r="J488" s="16" t="s">
        <v>457</v>
      </c>
      <c r="K488" s="16" t="s">
        <v>459</v>
      </c>
      <c r="L488" s="16"/>
      <c r="M488" s="16"/>
      <c r="N488" s="23" t="str">
        <f>HYPERLINK("http://slimages.macys.com/is/image/MCY/19278703 ")</f>
        <v xml:space="preserve">http://slimages.macys.com/is/image/MCY/19278703 </v>
      </c>
    </row>
    <row r="489" spans="1:14" x14ac:dyDescent="0.25">
      <c r="A489" s="21" t="s">
        <v>821</v>
      </c>
      <c r="B489" s="16" t="s">
        <v>822</v>
      </c>
      <c r="C489" s="17">
        <v>1</v>
      </c>
      <c r="D489" s="22">
        <v>10</v>
      </c>
      <c r="E489" s="22">
        <v>10</v>
      </c>
      <c r="F489" s="17">
        <v>100132111</v>
      </c>
      <c r="G489" s="16" t="s">
        <v>76</v>
      </c>
      <c r="H489" s="21" t="s">
        <v>87</v>
      </c>
      <c r="I489" s="16" t="s">
        <v>11</v>
      </c>
      <c r="J489" s="16" t="s">
        <v>457</v>
      </c>
      <c r="K489" s="16" t="s">
        <v>459</v>
      </c>
      <c r="L489" s="16"/>
      <c r="M489" s="16"/>
      <c r="N489" s="23" t="str">
        <f>HYPERLINK("http://slimages.macys.com/is/image/MCY/19278703 ")</f>
        <v xml:space="preserve">http://slimages.macys.com/is/image/MCY/19278703 </v>
      </c>
    </row>
    <row r="490" spans="1:14" x14ac:dyDescent="0.25">
      <c r="A490" s="21" t="s">
        <v>1079</v>
      </c>
      <c r="B490" s="16" t="s">
        <v>1080</v>
      </c>
      <c r="C490" s="17">
        <v>3</v>
      </c>
      <c r="D490" s="22">
        <v>10</v>
      </c>
      <c r="E490" s="22">
        <v>30</v>
      </c>
      <c r="F490" s="17">
        <v>100132111</v>
      </c>
      <c r="G490" s="16" t="s">
        <v>174</v>
      </c>
      <c r="H490" s="21" t="s">
        <v>32</v>
      </c>
      <c r="I490" s="16" t="s">
        <v>11</v>
      </c>
      <c r="J490" s="16" t="s">
        <v>457</v>
      </c>
      <c r="K490" s="16" t="s">
        <v>459</v>
      </c>
      <c r="L490" s="16"/>
      <c r="M490" s="16"/>
      <c r="N490" s="23" t="str">
        <f>HYPERLINK("http://slimages.macys.com/is/image/MCY/19278703 ")</f>
        <v xml:space="preserve">http://slimages.macys.com/is/image/MCY/19278703 </v>
      </c>
    </row>
    <row r="491" spans="1:14" x14ac:dyDescent="0.25">
      <c r="A491" s="21" t="s">
        <v>1089</v>
      </c>
      <c r="B491" s="16" t="s">
        <v>1090</v>
      </c>
      <c r="C491" s="17">
        <v>1</v>
      </c>
      <c r="D491" s="22">
        <v>10</v>
      </c>
      <c r="E491" s="22">
        <v>10</v>
      </c>
      <c r="F491" s="17">
        <v>100132111</v>
      </c>
      <c r="G491" s="16" t="s">
        <v>174</v>
      </c>
      <c r="H491" s="21" t="s">
        <v>40</v>
      </c>
      <c r="I491" s="16" t="s">
        <v>11</v>
      </c>
      <c r="J491" s="16" t="s">
        <v>457</v>
      </c>
      <c r="K491" s="16" t="s">
        <v>459</v>
      </c>
      <c r="L491" s="16"/>
      <c r="M491" s="16"/>
      <c r="N491" s="23" t="str">
        <f>HYPERLINK("http://slimages.macys.com/is/image/MCY/19278699 ")</f>
        <v xml:space="preserve">http://slimages.macys.com/is/image/MCY/19278699 </v>
      </c>
    </row>
    <row r="492" spans="1:14" x14ac:dyDescent="0.25">
      <c r="A492" s="21" t="s">
        <v>1085</v>
      </c>
      <c r="B492" s="16" t="s">
        <v>1086</v>
      </c>
      <c r="C492" s="17">
        <v>1</v>
      </c>
      <c r="D492" s="22">
        <v>10</v>
      </c>
      <c r="E492" s="22">
        <v>10</v>
      </c>
      <c r="F492" s="17">
        <v>100132111</v>
      </c>
      <c r="G492" s="16" t="s">
        <v>174</v>
      </c>
      <c r="H492" s="21" t="s">
        <v>55</v>
      </c>
      <c r="I492" s="16" t="s">
        <v>11</v>
      </c>
      <c r="J492" s="16" t="s">
        <v>457</v>
      </c>
      <c r="K492" s="16" t="s">
        <v>459</v>
      </c>
      <c r="L492" s="16"/>
      <c r="M492" s="16"/>
      <c r="N492" s="23" t="str">
        <f>HYPERLINK("http://slimages.macys.com/is/image/MCY/19278707 ")</f>
        <v xml:space="preserve">http://slimages.macys.com/is/image/MCY/19278707 </v>
      </c>
    </row>
    <row r="493" spans="1:14" x14ac:dyDescent="0.25">
      <c r="A493" s="21" t="s">
        <v>1083</v>
      </c>
      <c r="B493" s="16" t="s">
        <v>1084</v>
      </c>
      <c r="C493" s="17">
        <v>1</v>
      </c>
      <c r="D493" s="22">
        <v>10</v>
      </c>
      <c r="E493" s="22">
        <v>10</v>
      </c>
      <c r="F493" s="17">
        <v>100132111</v>
      </c>
      <c r="G493" s="16" t="s">
        <v>174</v>
      </c>
      <c r="H493" s="21" t="s">
        <v>27</v>
      </c>
      <c r="I493" s="16" t="s">
        <v>11</v>
      </c>
      <c r="J493" s="16" t="s">
        <v>457</v>
      </c>
      <c r="K493" s="16" t="s">
        <v>459</v>
      </c>
      <c r="L493" s="16"/>
      <c r="M493" s="16"/>
      <c r="N493" s="23" t="str">
        <f>HYPERLINK("http://slimages.macys.com/is/image/MCY/19278703 ")</f>
        <v xml:space="preserve">http://slimages.macys.com/is/image/MCY/19278703 </v>
      </c>
    </row>
    <row r="494" spans="1:14" x14ac:dyDescent="0.25">
      <c r="A494" s="21" t="s">
        <v>1081</v>
      </c>
      <c r="B494" s="16" t="s">
        <v>1082</v>
      </c>
      <c r="C494" s="17">
        <v>1</v>
      </c>
      <c r="D494" s="22">
        <v>10</v>
      </c>
      <c r="E494" s="22">
        <v>10</v>
      </c>
      <c r="F494" s="17">
        <v>100132111</v>
      </c>
      <c r="G494" s="16" t="s">
        <v>174</v>
      </c>
      <c r="H494" s="21" t="s">
        <v>87</v>
      </c>
      <c r="I494" s="16" t="s">
        <v>11</v>
      </c>
      <c r="J494" s="16" t="s">
        <v>457</v>
      </c>
      <c r="K494" s="16" t="s">
        <v>459</v>
      </c>
      <c r="L494" s="16"/>
      <c r="M494" s="16"/>
      <c r="N494" s="23" t="str">
        <f>HYPERLINK("http://slimages.macys.com/is/image/MCY/19278703 ")</f>
        <v xml:space="preserve">http://slimages.macys.com/is/image/MCY/19278703 </v>
      </c>
    </row>
    <row r="495" spans="1:14" x14ac:dyDescent="0.25">
      <c r="A495" s="21" t="s">
        <v>825</v>
      </c>
      <c r="B495" s="16" t="s">
        <v>826</v>
      </c>
      <c r="C495" s="17">
        <v>2</v>
      </c>
      <c r="D495" s="22">
        <v>10</v>
      </c>
      <c r="E495" s="22">
        <v>20</v>
      </c>
      <c r="F495" s="17">
        <v>100132111</v>
      </c>
      <c r="G495" s="16" t="s">
        <v>174</v>
      </c>
      <c r="H495" s="21"/>
      <c r="I495" s="16" t="s">
        <v>11</v>
      </c>
      <c r="J495" s="16" t="s">
        <v>457</v>
      </c>
      <c r="K495" s="16" t="s">
        <v>459</v>
      </c>
      <c r="L495" s="16"/>
      <c r="M495" s="16"/>
      <c r="N495" s="23" t="str">
        <f>HYPERLINK("http://slimages.macys.com/is/image/MCY/19278703 ")</f>
        <v xml:space="preserve">http://slimages.macys.com/is/image/MCY/19278703 </v>
      </c>
    </row>
    <row r="496" spans="1:14" x14ac:dyDescent="0.25">
      <c r="A496" s="21" t="s">
        <v>474</v>
      </c>
      <c r="B496" s="16" t="s">
        <v>475</v>
      </c>
      <c r="C496" s="17">
        <v>1</v>
      </c>
      <c r="D496" s="22">
        <v>10</v>
      </c>
      <c r="E496" s="22">
        <v>10</v>
      </c>
      <c r="F496" s="17">
        <v>100132111</v>
      </c>
      <c r="G496" s="16" t="s">
        <v>31</v>
      </c>
      <c r="H496" s="21" t="s">
        <v>87</v>
      </c>
      <c r="I496" s="16" t="s">
        <v>11</v>
      </c>
      <c r="J496" s="16" t="s">
        <v>457</v>
      </c>
      <c r="K496" s="16" t="s">
        <v>459</v>
      </c>
      <c r="L496" s="16"/>
      <c r="M496" s="16"/>
      <c r="N496" s="23" t="str">
        <f>HYPERLINK("http://slimages.macys.com/is/image/MCY/19278703 ")</f>
        <v xml:space="preserve">http://slimages.macys.com/is/image/MCY/19278703 </v>
      </c>
    </row>
    <row r="497" spans="1:14" x14ac:dyDescent="0.25">
      <c r="A497" s="21" t="s">
        <v>819</v>
      </c>
      <c r="B497" s="16" t="s">
        <v>820</v>
      </c>
      <c r="C497" s="17">
        <v>1</v>
      </c>
      <c r="D497" s="22">
        <v>10</v>
      </c>
      <c r="E497" s="22">
        <v>10</v>
      </c>
      <c r="F497" s="17">
        <v>100132111</v>
      </c>
      <c r="G497" s="16" t="s">
        <v>31</v>
      </c>
      <c r="H497" s="21"/>
      <c r="I497" s="16" t="s">
        <v>11</v>
      </c>
      <c r="J497" s="16" t="s">
        <v>457</v>
      </c>
      <c r="K497" s="16" t="s">
        <v>459</v>
      </c>
      <c r="L497" s="16"/>
      <c r="M497" s="16"/>
      <c r="N497" s="23" t="str">
        <f>HYPERLINK("http://slimages.macys.com/is/image/MCY/19278703 ")</f>
        <v xml:space="preserve">http://slimages.macys.com/is/image/MCY/19278703 </v>
      </c>
    </row>
    <row r="498" spans="1:14" x14ac:dyDescent="0.25">
      <c r="A498" s="21" t="s">
        <v>476</v>
      </c>
      <c r="B498" s="16" t="s">
        <v>477</v>
      </c>
      <c r="C498" s="17">
        <v>1</v>
      </c>
      <c r="D498" s="22">
        <v>10</v>
      </c>
      <c r="E498" s="22">
        <v>10</v>
      </c>
      <c r="F498" s="17">
        <v>100132111</v>
      </c>
      <c r="G498" s="16" t="s">
        <v>458</v>
      </c>
      <c r="H498" s="21" t="s">
        <v>32</v>
      </c>
      <c r="I498" s="16" t="s">
        <v>11</v>
      </c>
      <c r="J498" s="16" t="s">
        <v>457</v>
      </c>
      <c r="K498" s="16" t="s">
        <v>459</v>
      </c>
      <c r="L498" s="16"/>
      <c r="M498" s="16"/>
      <c r="N498" s="23" t="str">
        <f>HYPERLINK("http://slimages.macys.com/is/image/MCY/19278707 ")</f>
        <v xml:space="preserve">http://slimages.macys.com/is/image/MCY/19278707 </v>
      </c>
    </row>
    <row r="499" spans="1:14" x14ac:dyDescent="0.25">
      <c r="A499" s="21" t="s">
        <v>1077</v>
      </c>
      <c r="B499" s="16" t="s">
        <v>1078</v>
      </c>
      <c r="C499" s="17">
        <v>1</v>
      </c>
      <c r="D499" s="22">
        <v>10</v>
      </c>
      <c r="E499" s="22">
        <v>10</v>
      </c>
      <c r="F499" s="17">
        <v>100132111</v>
      </c>
      <c r="G499" s="16" t="s">
        <v>458</v>
      </c>
      <c r="H499" s="21" t="s">
        <v>27</v>
      </c>
      <c r="I499" s="16" t="s">
        <v>11</v>
      </c>
      <c r="J499" s="16" t="s">
        <v>457</v>
      </c>
      <c r="K499" s="16" t="s">
        <v>459</v>
      </c>
      <c r="L499" s="16"/>
      <c r="M499" s="16"/>
      <c r="N499" s="23" t="str">
        <f t="shared" ref="N499:N510" si="7">HYPERLINK("http://slimages.macys.com/is/image/MCY/19278703 ")</f>
        <v xml:space="preserve">http://slimages.macys.com/is/image/MCY/19278703 </v>
      </c>
    </row>
    <row r="500" spans="1:14" x14ac:dyDescent="0.25">
      <c r="A500" s="21" t="s">
        <v>1075</v>
      </c>
      <c r="B500" s="16" t="s">
        <v>1076</v>
      </c>
      <c r="C500" s="17">
        <v>1</v>
      </c>
      <c r="D500" s="22">
        <v>10</v>
      </c>
      <c r="E500" s="22">
        <v>10</v>
      </c>
      <c r="F500" s="17">
        <v>100132111</v>
      </c>
      <c r="G500" s="16" t="s">
        <v>458</v>
      </c>
      <c r="H500" s="21"/>
      <c r="I500" s="16" t="s">
        <v>11</v>
      </c>
      <c r="J500" s="16" t="s">
        <v>457</v>
      </c>
      <c r="K500" s="16" t="s">
        <v>459</v>
      </c>
      <c r="L500" s="16"/>
      <c r="M500" s="16"/>
      <c r="N500" s="23" t="str">
        <f t="shared" si="7"/>
        <v xml:space="preserve">http://slimages.macys.com/is/image/MCY/19278703 </v>
      </c>
    </row>
    <row r="501" spans="1:14" x14ac:dyDescent="0.25">
      <c r="A501" s="21" t="s">
        <v>803</v>
      </c>
      <c r="B501" s="16" t="s">
        <v>804</v>
      </c>
      <c r="C501" s="17">
        <v>2</v>
      </c>
      <c r="D501" s="22">
        <v>10</v>
      </c>
      <c r="E501" s="22">
        <v>20</v>
      </c>
      <c r="F501" s="17">
        <v>100132111</v>
      </c>
      <c r="G501" s="16" t="s">
        <v>202</v>
      </c>
      <c r="H501" s="21" t="s">
        <v>32</v>
      </c>
      <c r="I501" s="16" t="s">
        <v>11</v>
      </c>
      <c r="J501" s="16" t="s">
        <v>457</v>
      </c>
      <c r="K501" s="16" t="s">
        <v>459</v>
      </c>
      <c r="L501" s="16"/>
      <c r="M501" s="16"/>
      <c r="N501" s="23" t="str">
        <f t="shared" si="7"/>
        <v xml:space="preserve">http://slimages.macys.com/is/image/MCY/19278703 </v>
      </c>
    </row>
    <row r="502" spans="1:14" x14ac:dyDescent="0.25">
      <c r="A502" s="21" t="s">
        <v>797</v>
      </c>
      <c r="B502" s="16" t="s">
        <v>798</v>
      </c>
      <c r="C502" s="17">
        <v>1</v>
      </c>
      <c r="D502" s="22">
        <v>10</v>
      </c>
      <c r="E502" s="22">
        <v>10</v>
      </c>
      <c r="F502" s="17">
        <v>100132111</v>
      </c>
      <c r="G502" s="16" t="s">
        <v>202</v>
      </c>
      <c r="H502" s="21" t="s">
        <v>27</v>
      </c>
      <c r="I502" s="16" t="s">
        <v>11</v>
      </c>
      <c r="J502" s="16" t="s">
        <v>457</v>
      </c>
      <c r="K502" s="16" t="s">
        <v>459</v>
      </c>
      <c r="L502" s="16"/>
      <c r="M502" s="16"/>
      <c r="N502" s="23" t="str">
        <f t="shared" si="7"/>
        <v xml:space="preserve">http://slimages.macys.com/is/image/MCY/19278703 </v>
      </c>
    </row>
    <row r="503" spans="1:14" x14ac:dyDescent="0.25">
      <c r="A503" s="21" t="s">
        <v>460</v>
      </c>
      <c r="B503" s="16" t="s">
        <v>461</v>
      </c>
      <c r="C503" s="17">
        <v>1</v>
      </c>
      <c r="D503" s="22">
        <v>10</v>
      </c>
      <c r="E503" s="22">
        <v>10</v>
      </c>
      <c r="F503" s="17">
        <v>100132111</v>
      </c>
      <c r="G503" s="16" t="s">
        <v>202</v>
      </c>
      <c r="H503" s="21" t="s">
        <v>87</v>
      </c>
      <c r="I503" s="16" t="s">
        <v>11</v>
      </c>
      <c r="J503" s="16" t="s">
        <v>457</v>
      </c>
      <c r="K503" s="16" t="s">
        <v>459</v>
      </c>
      <c r="L503" s="16"/>
      <c r="M503" s="16"/>
      <c r="N503" s="23" t="str">
        <f t="shared" si="7"/>
        <v xml:space="preserve">http://slimages.macys.com/is/image/MCY/19278703 </v>
      </c>
    </row>
    <row r="504" spans="1:14" x14ac:dyDescent="0.25">
      <c r="A504" s="21" t="s">
        <v>1067</v>
      </c>
      <c r="B504" s="16" t="s">
        <v>1068</v>
      </c>
      <c r="C504" s="17">
        <v>1</v>
      </c>
      <c r="D504" s="22">
        <v>10</v>
      </c>
      <c r="E504" s="22">
        <v>10</v>
      </c>
      <c r="F504" s="17">
        <v>100132111</v>
      </c>
      <c r="G504" s="16" t="s">
        <v>202</v>
      </c>
      <c r="H504" s="21"/>
      <c r="I504" s="16" t="s">
        <v>11</v>
      </c>
      <c r="J504" s="16" t="s">
        <v>457</v>
      </c>
      <c r="K504" s="16" t="s">
        <v>459</v>
      </c>
      <c r="L504" s="16"/>
      <c r="M504" s="16"/>
      <c r="N504" s="23" t="str">
        <f t="shared" si="7"/>
        <v xml:space="preserve">http://slimages.macys.com/is/image/MCY/19278703 </v>
      </c>
    </row>
    <row r="505" spans="1:14" x14ac:dyDescent="0.25">
      <c r="A505" s="21" t="s">
        <v>462</v>
      </c>
      <c r="B505" s="16" t="s">
        <v>463</v>
      </c>
      <c r="C505" s="17">
        <v>1</v>
      </c>
      <c r="D505" s="22">
        <v>10</v>
      </c>
      <c r="E505" s="22">
        <v>10</v>
      </c>
      <c r="F505" s="17">
        <v>100132111</v>
      </c>
      <c r="G505" s="16" t="s">
        <v>82</v>
      </c>
      <c r="H505" s="21" t="s">
        <v>32</v>
      </c>
      <c r="I505" s="16" t="s">
        <v>11</v>
      </c>
      <c r="J505" s="16" t="s">
        <v>457</v>
      </c>
      <c r="K505" s="16" t="s">
        <v>459</v>
      </c>
      <c r="L505" s="16"/>
      <c r="M505" s="16"/>
      <c r="N505" s="23" t="str">
        <f t="shared" si="7"/>
        <v xml:space="preserve">http://slimages.macys.com/is/image/MCY/19278703 </v>
      </c>
    </row>
    <row r="506" spans="1:14" x14ac:dyDescent="0.25">
      <c r="A506" s="21" t="s">
        <v>1063</v>
      </c>
      <c r="B506" s="16" t="s">
        <v>1064</v>
      </c>
      <c r="C506" s="17">
        <v>1</v>
      </c>
      <c r="D506" s="22">
        <v>10</v>
      </c>
      <c r="E506" s="22">
        <v>10</v>
      </c>
      <c r="F506" s="17">
        <v>100132111</v>
      </c>
      <c r="G506" s="16" t="s">
        <v>82</v>
      </c>
      <c r="H506" s="21" t="s">
        <v>40</v>
      </c>
      <c r="I506" s="16" t="s">
        <v>11</v>
      </c>
      <c r="J506" s="16" t="s">
        <v>457</v>
      </c>
      <c r="K506" s="16" t="s">
        <v>459</v>
      </c>
      <c r="L506" s="16"/>
      <c r="M506" s="16"/>
      <c r="N506" s="23" t="str">
        <f t="shared" si="7"/>
        <v xml:space="preserve">http://slimages.macys.com/is/image/MCY/19278703 </v>
      </c>
    </row>
    <row r="507" spans="1:14" x14ac:dyDescent="0.25">
      <c r="A507" s="21" t="s">
        <v>801</v>
      </c>
      <c r="B507" s="16" t="s">
        <v>802</v>
      </c>
      <c r="C507" s="17">
        <v>1</v>
      </c>
      <c r="D507" s="22">
        <v>10</v>
      </c>
      <c r="E507" s="22">
        <v>10</v>
      </c>
      <c r="F507" s="17">
        <v>100132111</v>
      </c>
      <c r="G507" s="16" t="s">
        <v>82</v>
      </c>
      <c r="H507" s="21"/>
      <c r="I507" s="16" t="s">
        <v>11</v>
      </c>
      <c r="J507" s="16" t="s">
        <v>457</v>
      </c>
      <c r="K507" s="16" t="s">
        <v>459</v>
      </c>
      <c r="L507" s="16"/>
      <c r="M507" s="16"/>
      <c r="N507" s="23" t="str">
        <f t="shared" si="7"/>
        <v xml:space="preserve">http://slimages.macys.com/is/image/MCY/19278703 </v>
      </c>
    </row>
    <row r="508" spans="1:14" x14ac:dyDescent="0.25">
      <c r="A508" s="21" t="s">
        <v>799</v>
      </c>
      <c r="B508" s="16" t="s">
        <v>800</v>
      </c>
      <c r="C508" s="17">
        <v>2</v>
      </c>
      <c r="D508" s="22">
        <v>10</v>
      </c>
      <c r="E508" s="22">
        <v>20</v>
      </c>
      <c r="F508" s="17">
        <v>100132111</v>
      </c>
      <c r="G508" s="16" t="s">
        <v>57</v>
      </c>
      <c r="H508" s="21" t="s">
        <v>32</v>
      </c>
      <c r="I508" s="16" t="s">
        <v>11</v>
      </c>
      <c r="J508" s="16" t="s">
        <v>457</v>
      </c>
      <c r="K508" s="16" t="s">
        <v>459</v>
      </c>
      <c r="L508" s="16"/>
      <c r="M508" s="16"/>
      <c r="N508" s="23" t="str">
        <f t="shared" si="7"/>
        <v xml:space="preserve">http://slimages.macys.com/is/image/MCY/19278703 </v>
      </c>
    </row>
    <row r="509" spans="1:14" x14ac:dyDescent="0.25">
      <c r="A509" s="21" t="s">
        <v>1061</v>
      </c>
      <c r="B509" s="16" t="s">
        <v>1062</v>
      </c>
      <c r="C509" s="17">
        <v>1</v>
      </c>
      <c r="D509" s="22">
        <v>10</v>
      </c>
      <c r="E509" s="22">
        <v>10</v>
      </c>
      <c r="F509" s="17">
        <v>100132111</v>
      </c>
      <c r="G509" s="16" t="s">
        <v>57</v>
      </c>
      <c r="H509" s="21" t="s">
        <v>40</v>
      </c>
      <c r="I509" s="16" t="s">
        <v>11</v>
      </c>
      <c r="J509" s="16" t="s">
        <v>457</v>
      </c>
      <c r="K509" s="16" t="s">
        <v>459</v>
      </c>
      <c r="L509" s="16"/>
      <c r="M509" s="16"/>
      <c r="N509" s="23" t="str">
        <f t="shared" si="7"/>
        <v xml:space="preserve">http://slimages.macys.com/is/image/MCY/19278703 </v>
      </c>
    </row>
    <row r="510" spans="1:14" x14ac:dyDescent="0.25">
      <c r="A510" s="21" t="s">
        <v>1065</v>
      </c>
      <c r="B510" s="16" t="s">
        <v>1066</v>
      </c>
      <c r="C510" s="17">
        <v>1</v>
      </c>
      <c r="D510" s="22">
        <v>10</v>
      </c>
      <c r="E510" s="22">
        <v>10</v>
      </c>
      <c r="F510" s="17">
        <v>100132111</v>
      </c>
      <c r="G510" s="16" t="s">
        <v>57</v>
      </c>
      <c r="H510" s="21" t="s">
        <v>87</v>
      </c>
      <c r="I510" s="16" t="s">
        <v>11</v>
      </c>
      <c r="J510" s="16" t="s">
        <v>457</v>
      </c>
      <c r="K510" s="16" t="s">
        <v>459</v>
      </c>
      <c r="L510" s="16"/>
      <c r="M510" s="16"/>
      <c r="N510" s="23" t="str">
        <f t="shared" si="7"/>
        <v xml:space="preserve">http://slimages.macys.com/is/image/MCY/19278703 </v>
      </c>
    </row>
    <row r="511" spans="1:14" x14ac:dyDescent="0.25">
      <c r="A511" s="21" t="s">
        <v>829</v>
      </c>
      <c r="B511" s="16" t="s">
        <v>830</v>
      </c>
      <c r="C511" s="17">
        <v>1</v>
      </c>
      <c r="D511" s="22">
        <v>5.6</v>
      </c>
      <c r="E511" s="22">
        <v>5.6</v>
      </c>
      <c r="F511" s="17">
        <v>100137436</v>
      </c>
      <c r="G511" s="16" t="s">
        <v>31</v>
      </c>
      <c r="H511" s="21" t="s">
        <v>32</v>
      </c>
      <c r="I511" s="16" t="s">
        <v>11</v>
      </c>
      <c r="J511" s="16" t="s">
        <v>457</v>
      </c>
      <c r="K511" s="16" t="s">
        <v>459</v>
      </c>
      <c r="L511" s="16"/>
      <c r="M511" s="16"/>
      <c r="N511" s="23" t="str">
        <f>HYPERLINK("http://slimages.macys.com/is/image/MCY/1064322 ")</f>
        <v xml:space="preserve">http://slimages.macys.com/is/image/MCY/1064322 </v>
      </c>
    </row>
    <row r="512" spans="1:14" x14ac:dyDescent="0.25">
      <c r="A512" s="21" t="s">
        <v>835</v>
      </c>
      <c r="B512" s="16" t="s">
        <v>836</v>
      </c>
      <c r="C512" s="17">
        <v>1</v>
      </c>
      <c r="D512" s="22">
        <v>5.6</v>
      </c>
      <c r="E512" s="22">
        <v>5.6</v>
      </c>
      <c r="F512" s="17">
        <v>100137441</v>
      </c>
      <c r="G512" s="16" t="s">
        <v>31</v>
      </c>
      <c r="H512" s="21" t="s">
        <v>32</v>
      </c>
      <c r="I512" s="16" t="s">
        <v>11</v>
      </c>
      <c r="J512" s="16" t="s">
        <v>457</v>
      </c>
      <c r="K512" s="16" t="s">
        <v>459</v>
      </c>
      <c r="L512" s="16"/>
      <c r="M512" s="16"/>
      <c r="N512" s="23" t="str">
        <f>HYPERLINK("http://slimages.macys.com/is/image/MCY/19877575 ")</f>
        <v xml:space="preserve">http://slimages.macys.com/is/image/MCY/19877575 </v>
      </c>
    </row>
    <row r="513" spans="1:14" x14ac:dyDescent="0.25">
      <c r="A513" s="21" t="s">
        <v>1093</v>
      </c>
      <c r="B513" s="16" t="s">
        <v>1094</v>
      </c>
      <c r="C513" s="17">
        <v>1</v>
      </c>
      <c r="D513" s="22">
        <v>5.6</v>
      </c>
      <c r="E513" s="22">
        <v>5.6</v>
      </c>
      <c r="F513" s="17">
        <v>100137441</v>
      </c>
      <c r="G513" s="16" t="s">
        <v>31</v>
      </c>
      <c r="H513" s="21" t="s">
        <v>40</v>
      </c>
      <c r="I513" s="16" t="s">
        <v>11</v>
      </c>
      <c r="J513" s="16" t="s">
        <v>457</v>
      </c>
      <c r="K513" s="16" t="s">
        <v>459</v>
      </c>
      <c r="L513" s="16"/>
      <c r="M513" s="16"/>
      <c r="N513" s="23" t="str">
        <f>HYPERLINK("http://slimages.macys.com/is/image/MCY/19877571 ")</f>
        <v xml:space="preserve">http://slimages.macys.com/is/image/MCY/19877571 </v>
      </c>
    </row>
    <row r="514" spans="1:14" x14ac:dyDescent="0.25">
      <c r="A514" s="21" t="s">
        <v>831</v>
      </c>
      <c r="B514" s="16" t="s">
        <v>832</v>
      </c>
      <c r="C514" s="17">
        <v>3</v>
      </c>
      <c r="D514" s="22">
        <v>5.6</v>
      </c>
      <c r="E514" s="22">
        <v>16.8</v>
      </c>
      <c r="F514" s="17">
        <v>100137441</v>
      </c>
      <c r="G514" s="16" t="s">
        <v>31</v>
      </c>
      <c r="H514" s="21" t="s">
        <v>27</v>
      </c>
      <c r="I514" s="16" t="s">
        <v>11</v>
      </c>
      <c r="J514" s="16" t="s">
        <v>457</v>
      </c>
      <c r="K514" s="16" t="s">
        <v>459</v>
      </c>
      <c r="L514" s="16"/>
      <c r="M514" s="16"/>
      <c r="N514" s="23" t="str">
        <f>HYPERLINK("http://slimages.macys.com/is/image/MCY/19877575 ")</f>
        <v xml:space="preserve">http://slimages.macys.com/is/image/MCY/19877575 </v>
      </c>
    </row>
    <row r="515" spans="1:14" x14ac:dyDescent="0.25">
      <c r="A515" s="21" t="s">
        <v>833</v>
      </c>
      <c r="B515" s="16" t="s">
        <v>834</v>
      </c>
      <c r="C515" s="17">
        <v>1</v>
      </c>
      <c r="D515" s="22">
        <v>5.6</v>
      </c>
      <c r="E515" s="22">
        <v>5.6</v>
      </c>
      <c r="F515" s="17">
        <v>100137441</v>
      </c>
      <c r="G515" s="16" t="s">
        <v>31</v>
      </c>
      <c r="H515" s="21" t="s">
        <v>87</v>
      </c>
      <c r="I515" s="16" t="s">
        <v>11</v>
      </c>
      <c r="J515" s="16" t="s">
        <v>457</v>
      </c>
      <c r="K515" s="16" t="s">
        <v>459</v>
      </c>
      <c r="L515" s="16"/>
      <c r="M515" s="16"/>
      <c r="N515" s="23" t="str">
        <f>HYPERLINK("http://slimages.macys.com/is/image/MCY/19877575 ")</f>
        <v xml:space="preserve">http://slimages.macys.com/is/image/MCY/19877575 </v>
      </c>
    </row>
    <row r="516" spans="1:14" x14ac:dyDescent="0.25">
      <c r="A516" s="21" t="s">
        <v>489</v>
      </c>
      <c r="B516" s="16" t="s">
        <v>490</v>
      </c>
      <c r="C516" s="17">
        <v>2</v>
      </c>
      <c r="D516" s="22">
        <v>5.6</v>
      </c>
      <c r="E516" s="22">
        <v>11.2</v>
      </c>
      <c r="F516" s="17">
        <v>100137441</v>
      </c>
      <c r="G516" s="16" t="s">
        <v>31</v>
      </c>
      <c r="H516" s="21"/>
      <c r="I516" s="16" t="s">
        <v>11</v>
      </c>
      <c r="J516" s="16" t="s">
        <v>457</v>
      </c>
      <c r="K516" s="16" t="s">
        <v>459</v>
      </c>
      <c r="L516" s="16"/>
      <c r="M516" s="16"/>
      <c r="N516" s="23" t="str">
        <f>HYPERLINK("http://slimages.macys.com/is/image/MCY/19877575 ")</f>
        <v xml:space="preserve">http://slimages.macys.com/is/image/MCY/19877575 </v>
      </c>
    </row>
    <row r="517" spans="1:14" x14ac:dyDescent="0.25">
      <c r="A517" s="21" t="s">
        <v>501</v>
      </c>
      <c r="B517" s="16" t="s">
        <v>502</v>
      </c>
      <c r="C517" s="17">
        <v>1</v>
      </c>
      <c r="D517" s="22">
        <v>5.6</v>
      </c>
      <c r="E517" s="22">
        <v>5.6</v>
      </c>
      <c r="F517" s="17">
        <v>100117144</v>
      </c>
      <c r="G517" s="16" t="s">
        <v>225</v>
      </c>
      <c r="H517" s="21" t="s">
        <v>40</v>
      </c>
      <c r="I517" s="16" t="s">
        <v>11</v>
      </c>
      <c r="J517" s="16" t="s">
        <v>457</v>
      </c>
      <c r="K517" s="16" t="s">
        <v>459</v>
      </c>
      <c r="L517" s="16"/>
      <c r="M517" s="16"/>
      <c r="N517" s="23" t="str">
        <f>HYPERLINK("http://slimages.macys.com/is/image/MCY/18012944 ")</f>
        <v xml:space="preserve">http://slimages.macys.com/is/image/MCY/18012944 </v>
      </c>
    </row>
    <row r="518" spans="1:14" x14ac:dyDescent="0.25">
      <c r="A518" s="21" t="s">
        <v>2685</v>
      </c>
      <c r="B518" s="16" t="s">
        <v>2686</v>
      </c>
      <c r="C518" s="17">
        <v>1</v>
      </c>
      <c r="D518" s="22">
        <v>5.6</v>
      </c>
      <c r="E518" s="22">
        <v>5.6</v>
      </c>
      <c r="F518" s="17">
        <v>100117144</v>
      </c>
      <c r="G518" s="16" t="s">
        <v>225</v>
      </c>
      <c r="H518" s="21" t="s">
        <v>27</v>
      </c>
      <c r="I518" s="16" t="s">
        <v>11</v>
      </c>
      <c r="J518" s="16" t="s">
        <v>457</v>
      </c>
      <c r="K518" s="16" t="s">
        <v>459</v>
      </c>
      <c r="L518" s="16"/>
      <c r="M518" s="16"/>
      <c r="N518" s="23" t="str">
        <f>HYPERLINK("http://slimages.macys.com/is/image/MCY/18012944 ")</f>
        <v xml:space="preserve">http://slimages.macys.com/is/image/MCY/18012944 </v>
      </c>
    </row>
    <row r="519" spans="1:14" x14ac:dyDescent="0.25">
      <c r="A519" s="21" t="s">
        <v>2689</v>
      </c>
      <c r="B519" s="16" t="s">
        <v>2690</v>
      </c>
      <c r="C519" s="17">
        <v>1</v>
      </c>
      <c r="D519" s="22">
        <v>5.6</v>
      </c>
      <c r="E519" s="22">
        <v>5.6</v>
      </c>
      <c r="F519" s="17">
        <v>100117144</v>
      </c>
      <c r="G519" s="16" t="s">
        <v>225</v>
      </c>
      <c r="H519" s="21"/>
      <c r="I519" s="16" t="s">
        <v>11</v>
      </c>
      <c r="J519" s="16" t="s">
        <v>457</v>
      </c>
      <c r="K519" s="16" t="s">
        <v>459</v>
      </c>
      <c r="L519" s="16"/>
      <c r="M519" s="16"/>
      <c r="N519" s="23" t="str">
        <f>HYPERLINK("http://slimages.macys.com/is/image/MCY/18012944 ")</f>
        <v xml:space="preserve">http://slimages.macys.com/is/image/MCY/18012944 </v>
      </c>
    </row>
    <row r="520" spans="1:14" x14ac:dyDescent="0.25">
      <c r="A520" s="21" t="s">
        <v>841</v>
      </c>
      <c r="B520" s="16" t="s">
        <v>842</v>
      </c>
      <c r="C520" s="17">
        <v>2</v>
      </c>
      <c r="D520" s="22">
        <v>5.6</v>
      </c>
      <c r="E520" s="22">
        <v>11.2</v>
      </c>
      <c r="F520" s="17">
        <v>100131488</v>
      </c>
      <c r="G520" s="16" t="s">
        <v>78</v>
      </c>
      <c r="H520" s="21" t="s">
        <v>32</v>
      </c>
      <c r="I520" s="16" t="s">
        <v>11</v>
      </c>
      <c r="J520" s="16" t="s">
        <v>457</v>
      </c>
      <c r="K520" s="16" t="s">
        <v>459</v>
      </c>
      <c r="L520" s="16"/>
      <c r="M520" s="16"/>
      <c r="N520" s="23" t="str">
        <f>HYPERLINK("http://slimages.macys.com/is/image/MCY/19278666 ")</f>
        <v xml:space="preserve">http://slimages.macys.com/is/image/MCY/19278666 </v>
      </c>
    </row>
    <row r="521" spans="1:14" x14ac:dyDescent="0.25">
      <c r="A521" s="21" t="s">
        <v>499</v>
      </c>
      <c r="B521" s="16" t="s">
        <v>500</v>
      </c>
      <c r="C521" s="17">
        <v>1</v>
      </c>
      <c r="D521" s="22">
        <v>5.6</v>
      </c>
      <c r="E521" s="22">
        <v>5.6</v>
      </c>
      <c r="F521" s="17">
        <v>100131488</v>
      </c>
      <c r="G521" s="16" t="s">
        <v>78</v>
      </c>
      <c r="H521" s="21" t="s">
        <v>27</v>
      </c>
      <c r="I521" s="16" t="s">
        <v>11</v>
      </c>
      <c r="J521" s="16" t="s">
        <v>457</v>
      </c>
      <c r="K521" s="16" t="s">
        <v>459</v>
      </c>
      <c r="L521" s="16"/>
      <c r="M521" s="16"/>
      <c r="N521" s="23" t="str">
        <f>HYPERLINK("http://slimages.macys.com/is/image/MCY/19278666 ")</f>
        <v xml:space="preserve">http://slimages.macys.com/is/image/MCY/19278666 </v>
      </c>
    </row>
    <row r="522" spans="1:14" x14ac:dyDescent="0.25">
      <c r="A522" s="21" t="s">
        <v>1784</v>
      </c>
      <c r="B522" s="16" t="s">
        <v>1785</v>
      </c>
      <c r="C522" s="17">
        <v>1</v>
      </c>
      <c r="D522" s="22">
        <v>5.6</v>
      </c>
      <c r="E522" s="22">
        <v>5.6</v>
      </c>
      <c r="F522" s="17">
        <v>100131485</v>
      </c>
      <c r="G522" s="16" t="s">
        <v>83</v>
      </c>
      <c r="H522" s="21" t="s">
        <v>87</v>
      </c>
      <c r="I522" s="16" t="s">
        <v>11</v>
      </c>
      <c r="J522" s="16" t="s">
        <v>457</v>
      </c>
      <c r="K522" s="16" t="s">
        <v>459</v>
      </c>
      <c r="L522" s="16"/>
      <c r="M522" s="16"/>
      <c r="N522" s="23" t="str">
        <f>HYPERLINK("http://slimages.macys.com/is/image/MCY/18773886 ")</f>
        <v xml:space="preserve">http://slimages.macys.com/is/image/MCY/18773886 </v>
      </c>
    </row>
    <row r="523" spans="1:14" x14ac:dyDescent="0.25">
      <c r="A523" s="21" t="s">
        <v>839</v>
      </c>
      <c r="B523" s="16" t="s">
        <v>840</v>
      </c>
      <c r="C523" s="17">
        <v>1</v>
      </c>
      <c r="D523" s="22">
        <v>5.6</v>
      </c>
      <c r="E523" s="22">
        <v>5.6</v>
      </c>
      <c r="F523" s="17">
        <v>100131485</v>
      </c>
      <c r="G523" s="16" t="s">
        <v>83</v>
      </c>
      <c r="H523" s="21"/>
      <c r="I523" s="16" t="s">
        <v>11</v>
      </c>
      <c r="J523" s="16" t="s">
        <v>457</v>
      </c>
      <c r="K523" s="16" t="s">
        <v>459</v>
      </c>
      <c r="L523" s="16"/>
      <c r="M523" s="16"/>
      <c r="N523" s="23" t="str">
        <f>HYPERLINK("http://slimages.macys.com/is/image/MCY/18773886 ")</f>
        <v xml:space="preserve">http://slimages.macys.com/is/image/MCY/18773886 </v>
      </c>
    </row>
    <row r="524" spans="1:14" x14ac:dyDescent="0.25">
      <c r="A524" s="21" t="s">
        <v>2681</v>
      </c>
      <c r="B524" s="16" t="s">
        <v>2682</v>
      </c>
      <c r="C524" s="17">
        <v>1</v>
      </c>
      <c r="D524" s="22">
        <v>5.6</v>
      </c>
      <c r="E524" s="22">
        <v>5.6</v>
      </c>
      <c r="F524" s="17">
        <v>100120852</v>
      </c>
      <c r="G524" s="16" t="s">
        <v>120</v>
      </c>
      <c r="H524" s="21" t="s">
        <v>27</v>
      </c>
      <c r="I524" s="16" t="s">
        <v>11</v>
      </c>
      <c r="J524" s="16" t="s">
        <v>457</v>
      </c>
      <c r="K524" s="16" t="s">
        <v>459</v>
      </c>
      <c r="L524" s="16"/>
      <c r="M524" s="16"/>
      <c r="N524" s="23" t="str">
        <f>HYPERLINK("http://slimages.macys.com/is/image/MCY/18422073 ")</f>
        <v xml:space="preserve">http://slimages.macys.com/is/image/MCY/18422073 </v>
      </c>
    </row>
    <row r="525" spans="1:14" x14ac:dyDescent="0.25">
      <c r="A525" s="21" t="s">
        <v>482</v>
      </c>
      <c r="B525" s="16" t="s">
        <v>483</v>
      </c>
      <c r="C525" s="17">
        <v>1</v>
      </c>
      <c r="D525" s="22">
        <v>5.6</v>
      </c>
      <c r="E525" s="22">
        <v>5.6</v>
      </c>
      <c r="F525" s="17">
        <v>100120852</v>
      </c>
      <c r="G525" s="16" t="s">
        <v>120</v>
      </c>
      <c r="H525" s="21"/>
      <c r="I525" s="16" t="s">
        <v>11</v>
      </c>
      <c r="J525" s="16" t="s">
        <v>457</v>
      </c>
      <c r="K525" s="16" t="s">
        <v>459</v>
      </c>
      <c r="L525" s="16"/>
      <c r="M525" s="16"/>
      <c r="N525" s="23" t="str">
        <f>HYPERLINK("http://slimages.macys.com/is/image/MCY/18422073 ")</f>
        <v xml:space="preserve">http://slimages.macys.com/is/image/MCY/18422073 </v>
      </c>
    </row>
    <row r="526" spans="1:14" x14ac:dyDescent="0.25">
      <c r="A526" s="21" t="s">
        <v>2754</v>
      </c>
      <c r="B526" s="16" t="s">
        <v>2755</v>
      </c>
      <c r="C526" s="17">
        <v>1</v>
      </c>
      <c r="D526" s="22">
        <v>21</v>
      </c>
      <c r="E526" s="22">
        <v>21</v>
      </c>
      <c r="F526" s="17">
        <v>16008</v>
      </c>
      <c r="G526" s="16" t="s">
        <v>163</v>
      </c>
      <c r="H526" s="21" t="s">
        <v>40</v>
      </c>
      <c r="I526" s="16" t="s">
        <v>11</v>
      </c>
      <c r="J526" s="16" t="s">
        <v>539</v>
      </c>
      <c r="K526" s="16" t="s">
        <v>889</v>
      </c>
      <c r="L526" s="16"/>
      <c r="M526" s="16"/>
      <c r="N526" s="23" t="str">
        <f>HYPERLINK("http://slimages.macys.com/is/image/MCY/16458060 ")</f>
        <v xml:space="preserve">http://slimages.macys.com/is/image/MCY/16458060 </v>
      </c>
    </row>
    <row r="527" spans="1:14" x14ac:dyDescent="0.25">
      <c r="A527" s="21" t="s">
        <v>2714</v>
      </c>
      <c r="B527" s="16" t="s">
        <v>2715</v>
      </c>
      <c r="C527" s="17">
        <v>1</v>
      </c>
      <c r="D527" s="22">
        <v>69</v>
      </c>
      <c r="E527" s="22">
        <v>69</v>
      </c>
      <c r="F527" s="17" t="s">
        <v>542</v>
      </c>
      <c r="G527" s="16" t="s">
        <v>104</v>
      </c>
      <c r="H527" s="21" t="s">
        <v>27</v>
      </c>
      <c r="I527" s="16" t="s">
        <v>11</v>
      </c>
      <c r="J527" s="16" t="s">
        <v>539</v>
      </c>
      <c r="K527" s="16" t="s">
        <v>543</v>
      </c>
      <c r="L527" s="16" t="s">
        <v>544</v>
      </c>
      <c r="M527" s="16" t="s">
        <v>545</v>
      </c>
      <c r="N527" s="23" t="str">
        <f>HYPERLINK("http://images.bloomingdales.com/is/image/BLM/11796964 ")</f>
        <v xml:space="preserve">http://images.bloomingdales.com/is/image/BLM/11796964 </v>
      </c>
    </row>
    <row r="528" spans="1:14" x14ac:dyDescent="0.25">
      <c r="A528" s="21" t="s">
        <v>2716</v>
      </c>
      <c r="B528" s="16" t="s">
        <v>2717</v>
      </c>
      <c r="C528" s="17">
        <v>1</v>
      </c>
      <c r="D528" s="22">
        <v>69</v>
      </c>
      <c r="E528" s="22">
        <v>69</v>
      </c>
      <c r="F528" s="17" t="s">
        <v>2718</v>
      </c>
      <c r="G528" s="16" t="s">
        <v>125</v>
      </c>
      <c r="H528" s="21" t="s">
        <v>55</v>
      </c>
      <c r="I528" s="16" t="s">
        <v>11</v>
      </c>
      <c r="J528" s="16" t="s">
        <v>539</v>
      </c>
      <c r="K528" s="16" t="s">
        <v>543</v>
      </c>
      <c r="L528" s="16" t="s">
        <v>154</v>
      </c>
      <c r="M528" s="16" t="s">
        <v>1949</v>
      </c>
      <c r="N528" s="23" t="str">
        <f>HYPERLINK("http://images.bloomingdales.com/is/image/BLM/11748264 ")</f>
        <v xml:space="preserve">http://images.bloomingdales.com/is/image/BLM/11748264 </v>
      </c>
    </row>
    <row r="529" spans="1:14" x14ac:dyDescent="0.25">
      <c r="A529" s="21" t="s">
        <v>2709</v>
      </c>
      <c r="B529" s="16" t="s">
        <v>2710</v>
      </c>
      <c r="C529" s="17">
        <v>1</v>
      </c>
      <c r="D529" s="22">
        <v>84</v>
      </c>
      <c r="E529" s="22">
        <v>84</v>
      </c>
      <c r="F529" s="17" t="s">
        <v>2711</v>
      </c>
      <c r="G529" s="16" t="s">
        <v>102</v>
      </c>
      <c r="H529" s="21" t="s">
        <v>40</v>
      </c>
      <c r="I529" s="16" t="s">
        <v>11</v>
      </c>
      <c r="J529" s="16" t="s">
        <v>539</v>
      </c>
      <c r="K529" s="16" t="s">
        <v>543</v>
      </c>
      <c r="L529" s="16"/>
      <c r="M529" s="16"/>
      <c r="N529" s="23" t="str">
        <f>HYPERLINK("http://slimages.macys.com/is/image/MCY/17905314 ")</f>
        <v xml:space="preserve">http://slimages.macys.com/is/image/MCY/17905314 </v>
      </c>
    </row>
    <row r="530" spans="1:14" x14ac:dyDescent="0.25">
      <c r="A530" s="21" t="s">
        <v>2138</v>
      </c>
      <c r="B530" s="16" t="s">
        <v>2139</v>
      </c>
      <c r="C530" s="17">
        <v>1</v>
      </c>
      <c r="D530" s="22">
        <v>26.11</v>
      </c>
      <c r="E530" s="22">
        <v>26.11</v>
      </c>
      <c r="F530" s="17">
        <v>904</v>
      </c>
      <c r="G530" s="16" t="s">
        <v>124</v>
      </c>
      <c r="H530" s="21" t="s">
        <v>126</v>
      </c>
      <c r="I530" s="16" t="s">
        <v>11</v>
      </c>
      <c r="J530" s="16" t="s">
        <v>109</v>
      </c>
      <c r="K530" s="16" t="s">
        <v>2140</v>
      </c>
      <c r="L530" s="16" t="s">
        <v>111</v>
      </c>
      <c r="M530" s="16" t="s">
        <v>118</v>
      </c>
      <c r="N530" s="23" t="str">
        <f>HYPERLINK("http://slimages.macys.com/is/image/MCY/3409314 ")</f>
        <v xml:space="preserve">http://slimages.macys.com/is/image/MCY/3409314 </v>
      </c>
    </row>
    <row r="531" spans="1:14" x14ac:dyDescent="0.25">
      <c r="A531" s="21" t="s">
        <v>2332</v>
      </c>
      <c r="B531" s="16" t="s">
        <v>2333</v>
      </c>
      <c r="C531" s="17">
        <v>1</v>
      </c>
      <c r="D531" s="22">
        <v>36</v>
      </c>
      <c r="E531" s="22">
        <v>36</v>
      </c>
      <c r="F531" s="17" t="s">
        <v>988</v>
      </c>
      <c r="G531" s="16" t="s">
        <v>122</v>
      </c>
      <c r="H531" s="21" t="s">
        <v>32</v>
      </c>
      <c r="I531" s="16" t="s">
        <v>11</v>
      </c>
      <c r="J531" s="16" t="s">
        <v>240</v>
      </c>
      <c r="K531" s="16" t="s">
        <v>245</v>
      </c>
      <c r="L531" s="16" t="s">
        <v>111</v>
      </c>
      <c r="M531" s="16" t="s">
        <v>985</v>
      </c>
      <c r="N531" s="23" t="str">
        <f>HYPERLINK("http://slimages.macys.com/is/image/MCY/8604054 ")</f>
        <v xml:space="preserve">http://slimages.macys.com/is/image/MCY/8604054 </v>
      </c>
    </row>
    <row r="532" spans="1:14" x14ac:dyDescent="0.25">
      <c r="A532" s="21" t="s">
        <v>2299</v>
      </c>
      <c r="B532" s="16" t="s">
        <v>2300</v>
      </c>
      <c r="C532" s="17">
        <v>1</v>
      </c>
      <c r="D532" s="22">
        <v>54</v>
      </c>
      <c r="E532" s="22">
        <v>54</v>
      </c>
      <c r="F532" s="17" t="s">
        <v>1182</v>
      </c>
      <c r="G532" s="16" t="s">
        <v>104</v>
      </c>
      <c r="H532" s="21" t="s">
        <v>2301</v>
      </c>
      <c r="I532" s="16" t="s">
        <v>11</v>
      </c>
      <c r="J532" s="16" t="s">
        <v>240</v>
      </c>
      <c r="K532" s="16" t="s">
        <v>245</v>
      </c>
      <c r="L532" s="16"/>
      <c r="M532" s="16"/>
      <c r="N532" s="23" t="str">
        <f>HYPERLINK("http://slimages.macys.com/is/image/MCY/19745093 ")</f>
        <v xml:space="preserve">http://slimages.macys.com/is/image/MCY/19745093 </v>
      </c>
    </row>
    <row r="533" spans="1:14" x14ac:dyDescent="0.25">
      <c r="A533" s="21" t="s">
        <v>2316</v>
      </c>
      <c r="B533" s="16" t="s">
        <v>2317</v>
      </c>
      <c r="C533" s="17">
        <v>1</v>
      </c>
      <c r="D533" s="22">
        <v>45</v>
      </c>
      <c r="E533" s="22">
        <v>45</v>
      </c>
      <c r="F533" s="17" t="s">
        <v>247</v>
      </c>
      <c r="G533" s="16" t="s">
        <v>31</v>
      </c>
      <c r="H533" s="21" t="s">
        <v>55</v>
      </c>
      <c r="I533" s="16" t="s">
        <v>11</v>
      </c>
      <c r="J533" s="16" t="s">
        <v>240</v>
      </c>
      <c r="K533" s="16" t="s">
        <v>245</v>
      </c>
      <c r="L533" s="16"/>
      <c r="M533" s="16"/>
      <c r="N533" s="23" t="str">
        <f>HYPERLINK("http://slimages.macys.com/is/image/MCY/19361420 ")</f>
        <v xml:space="preserve">http://slimages.macys.com/is/image/MCY/19361420 </v>
      </c>
    </row>
    <row r="534" spans="1:14" x14ac:dyDescent="0.25">
      <c r="A534" s="21" t="s">
        <v>2329</v>
      </c>
      <c r="B534" s="16" t="s">
        <v>2330</v>
      </c>
      <c r="C534" s="17">
        <v>1</v>
      </c>
      <c r="D534" s="22">
        <v>39</v>
      </c>
      <c r="E534" s="22">
        <v>39</v>
      </c>
      <c r="F534" s="17" t="s">
        <v>2331</v>
      </c>
      <c r="G534" s="16" t="s">
        <v>62</v>
      </c>
      <c r="H534" s="21" t="s">
        <v>32</v>
      </c>
      <c r="I534" s="16" t="s">
        <v>11</v>
      </c>
      <c r="J534" s="16" t="s">
        <v>240</v>
      </c>
      <c r="K534" s="16" t="s">
        <v>245</v>
      </c>
      <c r="L534" s="16"/>
      <c r="M534" s="16"/>
      <c r="N534" s="23" t="str">
        <f>HYPERLINK("http://slimages.macys.com/is/image/MCY/1708913 ")</f>
        <v xml:space="preserve">http://slimages.macys.com/is/image/MCY/1708913 </v>
      </c>
    </row>
    <row r="535" spans="1:14" x14ac:dyDescent="0.25">
      <c r="A535" s="21" t="s">
        <v>1194</v>
      </c>
      <c r="B535" s="16" t="s">
        <v>1195</v>
      </c>
      <c r="C535" s="17">
        <v>1</v>
      </c>
      <c r="D535" s="22">
        <v>31.5</v>
      </c>
      <c r="E535" s="22">
        <v>31.5</v>
      </c>
      <c r="F535" s="17" t="s">
        <v>989</v>
      </c>
      <c r="G535" s="16" t="s">
        <v>62</v>
      </c>
      <c r="H535" s="21" t="s">
        <v>27</v>
      </c>
      <c r="I535" s="16" t="s">
        <v>11</v>
      </c>
      <c r="J535" s="16" t="s">
        <v>240</v>
      </c>
      <c r="K535" s="16" t="s">
        <v>245</v>
      </c>
      <c r="L535" s="16"/>
      <c r="M535" s="16"/>
      <c r="N535" s="23" t="str">
        <f>HYPERLINK("http://slimages.macys.com/is/image/MCY/19631518 ")</f>
        <v xml:space="preserve">http://slimages.macys.com/is/image/MCY/19631518 </v>
      </c>
    </row>
    <row r="536" spans="1:14" x14ac:dyDescent="0.25">
      <c r="A536" s="21" t="s">
        <v>2309</v>
      </c>
      <c r="B536" s="16" t="s">
        <v>2310</v>
      </c>
      <c r="C536" s="17">
        <v>1</v>
      </c>
      <c r="D536" s="22">
        <v>26.11</v>
      </c>
      <c r="E536" s="22">
        <v>26.11</v>
      </c>
      <c r="F536" s="17" t="s">
        <v>1191</v>
      </c>
      <c r="G536" s="16" t="s">
        <v>122</v>
      </c>
      <c r="H536" s="21" t="s">
        <v>40</v>
      </c>
      <c r="I536" s="16" t="s">
        <v>11</v>
      </c>
      <c r="J536" s="16" t="s">
        <v>240</v>
      </c>
      <c r="K536" s="16" t="s">
        <v>245</v>
      </c>
      <c r="L536" s="16"/>
      <c r="M536" s="16"/>
      <c r="N536" s="23" t="str">
        <f>HYPERLINK("http://slimages.macys.com/is/image/MCY/19417519 ")</f>
        <v xml:space="preserve">http://slimages.macys.com/is/image/MCY/19417519 </v>
      </c>
    </row>
    <row r="537" spans="1:14" x14ac:dyDescent="0.25">
      <c r="A537" s="21" t="s">
        <v>2311</v>
      </c>
      <c r="B537" s="16" t="s">
        <v>2312</v>
      </c>
      <c r="C537" s="17">
        <v>1</v>
      </c>
      <c r="D537" s="22">
        <v>52</v>
      </c>
      <c r="E537" s="22">
        <v>52</v>
      </c>
      <c r="F537" s="17" t="s">
        <v>2313</v>
      </c>
      <c r="G537" s="16" t="s">
        <v>122</v>
      </c>
      <c r="H537" s="21" t="s">
        <v>972</v>
      </c>
      <c r="I537" s="16" t="s">
        <v>11</v>
      </c>
      <c r="J537" s="16" t="s">
        <v>240</v>
      </c>
      <c r="K537" s="16" t="s">
        <v>245</v>
      </c>
      <c r="L537" s="16"/>
      <c r="M537" s="16"/>
      <c r="N537" s="23" t="str">
        <f>HYPERLINK("http://slimages.macys.com/is/image/MCY/19417523 ")</f>
        <v xml:space="preserve">http://slimages.macys.com/is/image/MCY/19417523 </v>
      </c>
    </row>
    <row r="538" spans="1:14" x14ac:dyDescent="0.25">
      <c r="A538" s="21" t="s">
        <v>2719</v>
      </c>
      <c r="B538" s="16" t="s">
        <v>2720</v>
      </c>
      <c r="C538" s="17">
        <v>1</v>
      </c>
      <c r="D538" s="22">
        <v>51.75</v>
      </c>
      <c r="E538" s="22">
        <v>51.75</v>
      </c>
      <c r="F538" s="17">
        <v>406101</v>
      </c>
      <c r="G538" s="16" t="s">
        <v>201</v>
      </c>
      <c r="H538" s="21" t="s">
        <v>40</v>
      </c>
      <c r="I538" s="16" t="s">
        <v>11</v>
      </c>
      <c r="J538" s="16" t="s">
        <v>539</v>
      </c>
      <c r="K538" s="16" t="s">
        <v>541</v>
      </c>
      <c r="L538" s="16"/>
      <c r="M538" s="16"/>
      <c r="N538" s="23" t="str">
        <f>HYPERLINK("http://slimages.macys.com/is/image/MCY/1721285 ")</f>
        <v xml:space="preserve">http://slimages.macys.com/is/image/MCY/1721285 </v>
      </c>
    </row>
    <row r="539" spans="1:14" x14ac:dyDescent="0.25">
      <c r="A539" s="21" t="s">
        <v>2545</v>
      </c>
      <c r="B539" s="16" t="s">
        <v>2546</v>
      </c>
      <c r="C539" s="17">
        <v>1</v>
      </c>
      <c r="D539" s="22">
        <v>29</v>
      </c>
      <c r="E539" s="22">
        <v>29</v>
      </c>
      <c r="F539" s="17" t="s">
        <v>1271</v>
      </c>
      <c r="G539" s="16" t="s">
        <v>62</v>
      </c>
      <c r="H539" s="21" t="s">
        <v>32</v>
      </c>
      <c r="I539" s="16" t="s">
        <v>11</v>
      </c>
      <c r="J539" s="16" t="s">
        <v>343</v>
      </c>
      <c r="K539" s="16" t="s">
        <v>393</v>
      </c>
      <c r="L539" s="16"/>
      <c r="M539" s="16"/>
      <c r="N539" s="23" t="str">
        <f>HYPERLINK("http://slimages.macys.com/is/image/MCY/20069740 ")</f>
        <v xml:space="preserve">http://slimages.macys.com/is/image/MCY/20069740 </v>
      </c>
    </row>
    <row r="540" spans="1:14" x14ac:dyDescent="0.25">
      <c r="A540" s="21" t="s">
        <v>2568</v>
      </c>
      <c r="B540" s="16" t="s">
        <v>2569</v>
      </c>
      <c r="C540" s="17">
        <v>1</v>
      </c>
      <c r="D540" s="22">
        <v>27</v>
      </c>
      <c r="E540" s="22">
        <v>27</v>
      </c>
      <c r="F540" s="17" t="s">
        <v>2570</v>
      </c>
      <c r="G540" s="16" t="s">
        <v>201</v>
      </c>
      <c r="H540" s="21" t="s">
        <v>286</v>
      </c>
      <c r="I540" s="16" t="s">
        <v>11</v>
      </c>
      <c r="J540" s="16" t="s">
        <v>343</v>
      </c>
      <c r="K540" s="16" t="s">
        <v>393</v>
      </c>
      <c r="L540" s="16"/>
      <c r="M540" s="16"/>
      <c r="N540" s="23" t="str">
        <f>HYPERLINK("http://slimages.macys.com/is/image/MCY/20069869 ")</f>
        <v xml:space="preserve">http://slimages.macys.com/is/image/MCY/20069869 </v>
      </c>
    </row>
    <row r="541" spans="1:14" x14ac:dyDescent="0.25">
      <c r="A541" s="21" t="s">
        <v>2566</v>
      </c>
      <c r="B541" s="16" t="s">
        <v>2567</v>
      </c>
      <c r="C541" s="17">
        <v>1</v>
      </c>
      <c r="D541" s="22">
        <v>26.11</v>
      </c>
      <c r="E541" s="22">
        <v>26.11</v>
      </c>
      <c r="F541" s="17" t="s">
        <v>1695</v>
      </c>
      <c r="G541" s="16" t="s">
        <v>104</v>
      </c>
      <c r="H541" s="21" t="s">
        <v>32</v>
      </c>
      <c r="I541" s="16" t="s">
        <v>11</v>
      </c>
      <c r="J541" s="16" t="s">
        <v>343</v>
      </c>
      <c r="K541" s="16" t="s">
        <v>393</v>
      </c>
      <c r="L541" s="16"/>
      <c r="M541" s="16"/>
      <c r="N541" s="23" t="str">
        <f>HYPERLINK("http://slimages.macys.com/is/image/MCY/18828143 ")</f>
        <v xml:space="preserve">http://slimages.macys.com/is/image/MCY/18828143 </v>
      </c>
    </row>
    <row r="542" spans="1:14" x14ac:dyDescent="0.25">
      <c r="A542" s="21" t="s">
        <v>2618</v>
      </c>
      <c r="B542" s="16" t="s">
        <v>2619</v>
      </c>
      <c r="C542" s="17">
        <v>1</v>
      </c>
      <c r="D542" s="22">
        <v>28.8</v>
      </c>
      <c r="E542" s="22">
        <v>28.8</v>
      </c>
      <c r="F542" s="17" t="s">
        <v>1298</v>
      </c>
      <c r="G542" s="16" t="s">
        <v>484</v>
      </c>
      <c r="H542" s="21" t="s">
        <v>27</v>
      </c>
      <c r="I542" s="16" t="s">
        <v>11</v>
      </c>
      <c r="J542" s="16" t="s">
        <v>343</v>
      </c>
      <c r="K542" s="16" t="s">
        <v>393</v>
      </c>
      <c r="L542" s="16"/>
      <c r="M542" s="16"/>
      <c r="N542" s="23" t="str">
        <f>HYPERLINK("http://slimages.macys.com/is/image/MCY/18828298 ")</f>
        <v xml:space="preserve">http://slimages.macys.com/is/image/MCY/18828298 </v>
      </c>
    </row>
    <row r="543" spans="1:14" x14ac:dyDescent="0.25">
      <c r="A543" s="21" t="s">
        <v>2540</v>
      </c>
      <c r="B543" s="16" t="s">
        <v>2541</v>
      </c>
      <c r="C543" s="17">
        <v>1</v>
      </c>
      <c r="D543" s="22">
        <v>41.6</v>
      </c>
      <c r="E543" s="22">
        <v>41.6</v>
      </c>
      <c r="F543" s="17" t="s">
        <v>2542</v>
      </c>
      <c r="G543" s="16" t="s">
        <v>201</v>
      </c>
      <c r="H543" s="21" t="s">
        <v>40</v>
      </c>
      <c r="I543" s="16" t="s">
        <v>11</v>
      </c>
      <c r="J543" s="16" t="s">
        <v>343</v>
      </c>
      <c r="K543" s="16" t="s">
        <v>393</v>
      </c>
      <c r="L543" s="16"/>
      <c r="M543" s="16"/>
      <c r="N543" s="23" t="str">
        <f>HYPERLINK("http://slimages.macys.com/is/image/MCY/18995297 ")</f>
        <v xml:space="preserve">http://slimages.macys.com/is/image/MCY/18995297 </v>
      </c>
    </row>
    <row r="544" spans="1:14" x14ac:dyDescent="0.25">
      <c r="A544" s="21" t="s">
        <v>2732</v>
      </c>
      <c r="B544" s="16" t="s">
        <v>2733</v>
      </c>
      <c r="C544" s="17">
        <v>1</v>
      </c>
      <c r="D544" s="22">
        <v>44.25</v>
      </c>
      <c r="E544" s="22">
        <v>44.25</v>
      </c>
      <c r="F544" s="17" t="s">
        <v>2734</v>
      </c>
      <c r="G544" s="16" t="s">
        <v>78</v>
      </c>
      <c r="H544" s="21" t="s">
        <v>55</v>
      </c>
      <c r="I544" s="16" t="s">
        <v>11</v>
      </c>
      <c r="J544" s="16" t="s">
        <v>539</v>
      </c>
      <c r="K544" s="16" t="s">
        <v>555</v>
      </c>
      <c r="L544" s="16"/>
      <c r="M544" s="16"/>
      <c r="N544" s="23" t="str">
        <f>HYPERLINK("http://slimages.macys.com/is/image/MCY/18575193 ")</f>
        <v xml:space="preserve">http://slimages.macys.com/is/image/MCY/18575193 </v>
      </c>
    </row>
    <row r="545" spans="1:14" x14ac:dyDescent="0.25">
      <c r="A545" s="21" t="s">
        <v>2735</v>
      </c>
      <c r="B545" s="16" t="s">
        <v>2736</v>
      </c>
      <c r="C545" s="17">
        <v>1</v>
      </c>
      <c r="D545" s="22">
        <v>26.11</v>
      </c>
      <c r="E545" s="22">
        <v>26.11</v>
      </c>
      <c r="F545" s="17" t="s">
        <v>554</v>
      </c>
      <c r="G545" s="16" t="s">
        <v>83</v>
      </c>
      <c r="H545" s="21" t="s">
        <v>47</v>
      </c>
      <c r="I545" s="16" t="s">
        <v>11</v>
      </c>
      <c r="J545" s="16" t="s">
        <v>539</v>
      </c>
      <c r="K545" s="16" t="s">
        <v>555</v>
      </c>
      <c r="L545" s="16"/>
      <c r="M545" s="16"/>
      <c r="N545" s="23" t="str">
        <f>HYPERLINK("http://slimages.macys.com/is/image/MCY/19037199 ")</f>
        <v xml:space="preserve">http://slimages.macys.com/is/image/MCY/19037199 </v>
      </c>
    </row>
    <row r="546" spans="1:14" x14ac:dyDescent="0.25">
      <c r="A546" s="21" t="s">
        <v>2729</v>
      </c>
      <c r="B546" s="16" t="s">
        <v>2730</v>
      </c>
      <c r="C546" s="17">
        <v>1</v>
      </c>
      <c r="D546" s="22">
        <v>48.75</v>
      </c>
      <c r="E546" s="22">
        <v>48.75</v>
      </c>
      <c r="F546" s="17" t="s">
        <v>2731</v>
      </c>
      <c r="G546" s="16" t="s">
        <v>86</v>
      </c>
      <c r="H546" s="21" t="s">
        <v>32</v>
      </c>
      <c r="I546" s="16" t="s">
        <v>11</v>
      </c>
      <c r="J546" s="16" t="s">
        <v>539</v>
      </c>
      <c r="K546" s="16" t="s">
        <v>555</v>
      </c>
      <c r="L546" s="16"/>
      <c r="M546" s="16"/>
      <c r="N546" s="23" t="str">
        <f>HYPERLINK("http://slimages.macys.com/is/image/MCY/18333532 ")</f>
        <v xml:space="preserve">http://slimages.macys.com/is/image/MCY/18333532 </v>
      </c>
    </row>
    <row r="547" spans="1:14" x14ac:dyDescent="0.25">
      <c r="A547" s="21" t="s">
        <v>2726</v>
      </c>
      <c r="B547" s="16" t="s">
        <v>2727</v>
      </c>
      <c r="C547" s="17">
        <v>1</v>
      </c>
      <c r="D547" s="22">
        <v>48.75</v>
      </c>
      <c r="E547" s="22">
        <v>48.75</v>
      </c>
      <c r="F547" s="17" t="s">
        <v>2728</v>
      </c>
      <c r="G547" s="16" t="s">
        <v>78</v>
      </c>
      <c r="H547" s="21" t="s">
        <v>40</v>
      </c>
      <c r="I547" s="16" t="s">
        <v>11</v>
      </c>
      <c r="J547" s="16" t="s">
        <v>539</v>
      </c>
      <c r="K547" s="16" t="s">
        <v>555</v>
      </c>
      <c r="L547" s="16"/>
      <c r="M547" s="16"/>
      <c r="N547" s="23" t="str">
        <f>HYPERLINK("http://slimages.macys.com/is/image/MCY/18333548 ")</f>
        <v xml:space="preserve">http://slimages.macys.com/is/image/MCY/18333548 </v>
      </c>
    </row>
    <row r="548" spans="1:14" x14ac:dyDescent="0.25">
      <c r="A548" s="21" t="s">
        <v>2721</v>
      </c>
      <c r="B548" s="16" t="s">
        <v>2722</v>
      </c>
      <c r="C548" s="17">
        <v>3</v>
      </c>
      <c r="D548" s="22">
        <v>48.75</v>
      </c>
      <c r="E548" s="22">
        <v>146.25</v>
      </c>
      <c r="F548" s="17" t="s">
        <v>2723</v>
      </c>
      <c r="G548" s="16" t="s">
        <v>31</v>
      </c>
      <c r="H548" s="21" t="s">
        <v>40</v>
      </c>
      <c r="I548" s="16" t="s">
        <v>11</v>
      </c>
      <c r="J548" s="16" t="s">
        <v>539</v>
      </c>
      <c r="K548" s="16" t="s">
        <v>555</v>
      </c>
      <c r="L548" s="16"/>
      <c r="M548" s="16"/>
      <c r="N548" s="23" t="str">
        <f>HYPERLINK("http://slimages.macys.com/is/image/MCY/18333488 ")</f>
        <v xml:space="preserve">http://slimages.macys.com/is/image/MCY/18333488 </v>
      </c>
    </row>
    <row r="549" spans="1:14" x14ac:dyDescent="0.25">
      <c r="A549" s="21" t="s">
        <v>2724</v>
      </c>
      <c r="B549" s="16" t="s">
        <v>2725</v>
      </c>
      <c r="C549" s="17">
        <v>1</v>
      </c>
      <c r="D549" s="22">
        <v>26.11</v>
      </c>
      <c r="E549" s="22">
        <v>26.11</v>
      </c>
      <c r="F549" s="17" t="s">
        <v>2723</v>
      </c>
      <c r="G549" s="16" t="s">
        <v>31</v>
      </c>
      <c r="H549" s="21" t="s">
        <v>27</v>
      </c>
      <c r="I549" s="16" t="s">
        <v>11</v>
      </c>
      <c r="J549" s="16" t="s">
        <v>539</v>
      </c>
      <c r="K549" s="16" t="s">
        <v>555</v>
      </c>
      <c r="L549" s="16"/>
      <c r="M549" s="16"/>
      <c r="N549" s="23" t="str">
        <f>HYPERLINK("http://slimages.macys.com/is/image/MCY/18333488 ")</f>
        <v xml:space="preserve">http://slimages.macys.com/is/image/MCY/18333488 </v>
      </c>
    </row>
    <row r="550" spans="1:14" x14ac:dyDescent="0.25">
      <c r="A550" s="21" t="s">
        <v>2737</v>
      </c>
      <c r="B550" s="16" t="s">
        <v>2738</v>
      </c>
      <c r="C550" s="17">
        <v>1</v>
      </c>
      <c r="D550" s="22">
        <v>36.75</v>
      </c>
      <c r="E550" s="22">
        <v>36.75</v>
      </c>
      <c r="F550" s="17" t="s">
        <v>1384</v>
      </c>
      <c r="G550" s="16" t="s">
        <v>83</v>
      </c>
      <c r="H550" s="21" t="s">
        <v>55</v>
      </c>
      <c r="I550" s="16" t="s">
        <v>11</v>
      </c>
      <c r="J550" s="16" t="s">
        <v>539</v>
      </c>
      <c r="K550" s="16" t="s">
        <v>555</v>
      </c>
      <c r="L550" s="16"/>
      <c r="M550" s="16"/>
      <c r="N550" s="23" t="str">
        <f>HYPERLINK("http://slimages.macys.com/is/image/MCY/19037232 ")</f>
        <v xml:space="preserve">http://slimages.macys.com/is/image/MCY/19037232 </v>
      </c>
    </row>
    <row r="551" spans="1:14" x14ac:dyDescent="0.25">
      <c r="A551" s="21" t="s">
        <v>2132</v>
      </c>
      <c r="B551" s="16" t="s">
        <v>2133</v>
      </c>
      <c r="C551" s="17">
        <v>1</v>
      </c>
      <c r="D551" s="22">
        <v>32</v>
      </c>
      <c r="E551" s="22">
        <v>32</v>
      </c>
      <c r="F551" s="17">
        <v>4747</v>
      </c>
      <c r="G551" s="16" t="s">
        <v>114</v>
      </c>
      <c r="H551" s="21" t="s">
        <v>235</v>
      </c>
      <c r="I551" s="16" t="s">
        <v>11</v>
      </c>
      <c r="J551" s="16" t="s">
        <v>109</v>
      </c>
      <c r="K551" s="16" t="s">
        <v>116</v>
      </c>
      <c r="L551" s="16" t="s">
        <v>111</v>
      </c>
      <c r="M551" s="16" t="s">
        <v>609</v>
      </c>
      <c r="N551" s="23" t="str">
        <f>HYPERLINK("http://slimages.macys.com/is/image/MCY/3468607 ")</f>
        <v xml:space="preserve">http://slimages.macys.com/is/image/MCY/3468607 </v>
      </c>
    </row>
    <row r="552" spans="1:14" x14ac:dyDescent="0.25">
      <c r="A552" s="21" t="s">
        <v>2134</v>
      </c>
      <c r="B552" s="16" t="s">
        <v>2135</v>
      </c>
      <c r="C552" s="17">
        <v>1</v>
      </c>
      <c r="D552" s="22">
        <v>33.6</v>
      </c>
      <c r="E552" s="22">
        <v>33.6</v>
      </c>
      <c r="F552" s="17">
        <v>4513</v>
      </c>
      <c r="G552" s="16" t="s">
        <v>349</v>
      </c>
      <c r="H552" s="21" t="s">
        <v>232</v>
      </c>
      <c r="I552" s="16" t="s">
        <v>11</v>
      </c>
      <c r="J552" s="16" t="s">
        <v>109</v>
      </c>
      <c r="K552" s="16" t="s">
        <v>116</v>
      </c>
      <c r="L552" s="16" t="s">
        <v>111</v>
      </c>
      <c r="M552" s="16" t="s">
        <v>605</v>
      </c>
      <c r="N552" s="23" t="str">
        <f>HYPERLINK("http://slimages.macys.com/is/image/MCY/3468586 ")</f>
        <v xml:space="preserve">http://slimages.macys.com/is/image/MCY/3468586 </v>
      </c>
    </row>
    <row r="553" spans="1:14" x14ac:dyDescent="0.25">
      <c r="A553" s="21" t="s">
        <v>2136</v>
      </c>
      <c r="B553" s="16" t="s">
        <v>2137</v>
      </c>
      <c r="C553" s="17">
        <v>1</v>
      </c>
      <c r="D553" s="22">
        <v>33.6</v>
      </c>
      <c r="E553" s="22">
        <v>33.6</v>
      </c>
      <c r="F553" s="17">
        <v>4422</v>
      </c>
      <c r="G553" s="16" t="s">
        <v>58</v>
      </c>
      <c r="H553" s="21" t="s">
        <v>536</v>
      </c>
      <c r="I553" s="16" t="s">
        <v>11</v>
      </c>
      <c r="J553" s="16" t="s">
        <v>109</v>
      </c>
      <c r="K553" s="16" t="s">
        <v>116</v>
      </c>
      <c r="L553" s="16" t="s">
        <v>111</v>
      </c>
      <c r="M553" s="16" t="s">
        <v>113</v>
      </c>
      <c r="N553" s="23" t="str">
        <f>HYPERLINK("http://slimages.macys.com/is/image/MCY/3745866 ")</f>
        <v xml:space="preserve">http://slimages.macys.com/is/image/MCY/3745866 </v>
      </c>
    </row>
    <row r="554" spans="1:14" x14ac:dyDescent="0.25">
      <c r="A554" s="21" t="s">
        <v>2484</v>
      </c>
      <c r="B554" s="16" t="s">
        <v>2485</v>
      </c>
      <c r="C554" s="17">
        <v>1</v>
      </c>
      <c r="D554" s="22">
        <v>26.11</v>
      </c>
      <c r="E554" s="22">
        <v>26.11</v>
      </c>
      <c r="F554" s="17" t="s">
        <v>1616</v>
      </c>
      <c r="G554" s="16" t="s">
        <v>102</v>
      </c>
      <c r="H554" s="21" t="s">
        <v>227</v>
      </c>
      <c r="I554" s="16" t="s">
        <v>11</v>
      </c>
      <c r="J554" s="16" t="s">
        <v>343</v>
      </c>
      <c r="K554" s="16" t="s">
        <v>1468</v>
      </c>
      <c r="L554" s="16"/>
      <c r="M554" s="16"/>
      <c r="N554" s="23" t="str">
        <f>HYPERLINK("http://slimages.macys.com/is/image/MCY/20226294 ")</f>
        <v xml:space="preserve">http://slimages.macys.com/is/image/MCY/20226294 </v>
      </c>
    </row>
    <row r="555" spans="1:14" x14ac:dyDescent="0.25">
      <c r="A555" s="21" t="s">
        <v>2627</v>
      </c>
      <c r="B555" s="16" t="s">
        <v>2628</v>
      </c>
      <c r="C555" s="17">
        <v>1</v>
      </c>
      <c r="D555" s="22">
        <v>25.2</v>
      </c>
      <c r="E555" s="22">
        <v>25.2</v>
      </c>
      <c r="F555" s="17" t="s">
        <v>406</v>
      </c>
      <c r="G555" s="16" t="s">
        <v>137</v>
      </c>
      <c r="H555" s="21" t="s">
        <v>55</v>
      </c>
      <c r="I555" s="16" t="s">
        <v>11</v>
      </c>
      <c r="J555" s="16" t="s">
        <v>343</v>
      </c>
      <c r="K555" s="16" t="s">
        <v>379</v>
      </c>
      <c r="L555" s="16"/>
      <c r="M555" s="16"/>
      <c r="N555" s="23" t="str">
        <f>HYPERLINK("http://slimages.macys.com/is/image/MCY/20376290 ")</f>
        <v xml:space="preserve">http://slimages.macys.com/is/image/MCY/20376290 </v>
      </c>
    </row>
    <row r="556" spans="1:14" x14ac:dyDescent="0.25">
      <c r="A556" s="21" t="s">
        <v>404</v>
      </c>
      <c r="B556" s="16" t="s">
        <v>405</v>
      </c>
      <c r="C556" s="17">
        <v>2</v>
      </c>
      <c r="D556" s="22">
        <v>25.2</v>
      </c>
      <c r="E556" s="22">
        <v>50.4</v>
      </c>
      <c r="F556" s="17" t="s">
        <v>406</v>
      </c>
      <c r="G556" s="16" t="s">
        <v>122</v>
      </c>
      <c r="H556" s="21" t="s">
        <v>40</v>
      </c>
      <c r="I556" s="16" t="s">
        <v>11</v>
      </c>
      <c r="J556" s="16" t="s">
        <v>343</v>
      </c>
      <c r="K556" s="16" t="s">
        <v>379</v>
      </c>
      <c r="L556" s="16"/>
      <c r="M556" s="16"/>
      <c r="N556" s="23" t="str">
        <f>HYPERLINK("http://slimages.macys.com/is/image/MCY/19388373 ")</f>
        <v xml:space="preserve">http://slimages.macys.com/is/image/MCY/19388373 </v>
      </c>
    </row>
    <row r="557" spans="1:14" x14ac:dyDescent="0.25">
      <c r="A557" s="21" t="s">
        <v>2620</v>
      </c>
      <c r="B557" s="16" t="s">
        <v>2621</v>
      </c>
      <c r="C557" s="17">
        <v>2</v>
      </c>
      <c r="D557" s="22">
        <v>25.2</v>
      </c>
      <c r="E557" s="22">
        <v>50.4</v>
      </c>
      <c r="F557" s="17" t="s">
        <v>406</v>
      </c>
      <c r="G557" s="16" t="s">
        <v>963</v>
      </c>
      <c r="H557" s="21" t="s">
        <v>40</v>
      </c>
      <c r="I557" s="16" t="s">
        <v>11</v>
      </c>
      <c r="J557" s="16" t="s">
        <v>343</v>
      </c>
      <c r="K557" s="16" t="s">
        <v>379</v>
      </c>
      <c r="L557" s="16"/>
      <c r="M557" s="16"/>
      <c r="N557" s="23" t="str">
        <f>HYPERLINK("http://slimages.macys.com/is/image/MCY/19331234 ")</f>
        <v xml:space="preserve">http://slimages.macys.com/is/image/MCY/19331234 </v>
      </c>
    </row>
    <row r="558" spans="1:14" x14ac:dyDescent="0.25">
      <c r="A558" s="21" t="s">
        <v>2622</v>
      </c>
      <c r="B558" s="16" t="s">
        <v>2623</v>
      </c>
      <c r="C558" s="17">
        <v>1</v>
      </c>
      <c r="D558" s="22">
        <v>25.2</v>
      </c>
      <c r="E558" s="22">
        <v>25.2</v>
      </c>
      <c r="F558" s="17" t="s">
        <v>406</v>
      </c>
      <c r="G558" s="16" t="s">
        <v>963</v>
      </c>
      <c r="H558" s="21" t="s">
        <v>27</v>
      </c>
      <c r="I558" s="16" t="s">
        <v>11</v>
      </c>
      <c r="J558" s="16" t="s">
        <v>343</v>
      </c>
      <c r="K558" s="16" t="s">
        <v>379</v>
      </c>
      <c r="L558" s="16"/>
      <c r="M558" s="16"/>
      <c r="N558" s="23" t="str">
        <f>HYPERLINK("http://slimages.macys.com/is/image/MCY/19331234 ")</f>
        <v xml:space="preserve">http://slimages.macys.com/is/image/MCY/19331234 </v>
      </c>
    </row>
    <row r="559" spans="1:14" x14ac:dyDescent="0.25">
      <c r="A559" s="21" t="s">
        <v>2636</v>
      </c>
      <c r="B559" s="16" t="s">
        <v>2637</v>
      </c>
      <c r="C559" s="17">
        <v>1</v>
      </c>
      <c r="D559" s="22">
        <v>22.99</v>
      </c>
      <c r="E559" s="22">
        <v>22.99</v>
      </c>
      <c r="F559" s="17" t="s">
        <v>775</v>
      </c>
      <c r="G559" s="16" t="s">
        <v>122</v>
      </c>
      <c r="H559" s="21" t="s">
        <v>2638</v>
      </c>
      <c r="I559" s="16" t="s">
        <v>11</v>
      </c>
      <c r="J559" s="16" t="s">
        <v>343</v>
      </c>
      <c r="K559" s="16" t="s">
        <v>379</v>
      </c>
      <c r="L559" s="16"/>
      <c r="M559" s="16"/>
      <c r="N559" s="23" t="str">
        <f>HYPERLINK("http://slimages.macys.com/is/image/MCY/20356327 ")</f>
        <v xml:space="preserve">http://slimages.macys.com/is/image/MCY/20356327 </v>
      </c>
    </row>
    <row r="560" spans="1:14" x14ac:dyDescent="0.25">
      <c r="A560" s="21" t="s">
        <v>2505</v>
      </c>
      <c r="B560" s="16" t="s">
        <v>2506</v>
      </c>
      <c r="C560" s="17">
        <v>1</v>
      </c>
      <c r="D560" s="22">
        <v>38.4</v>
      </c>
      <c r="E560" s="22">
        <v>38.4</v>
      </c>
      <c r="F560" s="17" t="s">
        <v>2507</v>
      </c>
      <c r="G560" s="16" t="s">
        <v>44</v>
      </c>
      <c r="H560" s="21" t="s">
        <v>40</v>
      </c>
      <c r="I560" s="16" t="s">
        <v>11</v>
      </c>
      <c r="J560" s="16" t="s">
        <v>343</v>
      </c>
      <c r="K560" s="16" t="s">
        <v>379</v>
      </c>
      <c r="L560" s="16"/>
      <c r="M560" s="16"/>
      <c r="N560" s="23" t="str">
        <f>HYPERLINK("http://slimages.macys.com/is/image/MCY/19902783 ")</f>
        <v xml:space="preserve">http://slimages.macys.com/is/image/MCY/19902783 </v>
      </c>
    </row>
    <row r="561" spans="1:14" x14ac:dyDescent="0.25">
      <c r="A561" s="21" t="s">
        <v>390</v>
      </c>
      <c r="B561" s="16" t="s">
        <v>391</v>
      </c>
      <c r="C561" s="17">
        <v>1</v>
      </c>
      <c r="D561" s="22">
        <v>27.6</v>
      </c>
      <c r="E561" s="22">
        <v>27.6</v>
      </c>
      <c r="F561" s="17" t="s">
        <v>392</v>
      </c>
      <c r="G561" s="16" t="s">
        <v>122</v>
      </c>
      <c r="H561" s="21" t="s">
        <v>40</v>
      </c>
      <c r="I561" s="16" t="s">
        <v>11</v>
      </c>
      <c r="J561" s="16" t="s">
        <v>343</v>
      </c>
      <c r="K561" s="16" t="s">
        <v>379</v>
      </c>
      <c r="L561" s="16"/>
      <c r="M561" s="16"/>
      <c r="N561" s="23" t="str">
        <f>HYPERLINK("http://slimages.macys.com/is/image/MCY/20376523 ")</f>
        <v xml:space="preserve">http://slimages.macys.com/is/image/MCY/20376523 </v>
      </c>
    </row>
    <row r="562" spans="1:14" x14ac:dyDescent="0.25">
      <c r="A562" s="21" t="s">
        <v>2535</v>
      </c>
      <c r="B562" s="16" t="s">
        <v>2536</v>
      </c>
      <c r="C562" s="17">
        <v>1</v>
      </c>
      <c r="D562" s="22">
        <v>34.799999999999997</v>
      </c>
      <c r="E562" s="22">
        <v>34.799999999999997</v>
      </c>
      <c r="F562" s="17" t="s">
        <v>1266</v>
      </c>
      <c r="G562" s="16" t="s">
        <v>76</v>
      </c>
      <c r="H562" s="21" t="s">
        <v>55</v>
      </c>
      <c r="I562" s="16" t="s">
        <v>11</v>
      </c>
      <c r="J562" s="16" t="s">
        <v>343</v>
      </c>
      <c r="K562" s="16" t="s">
        <v>379</v>
      </c>
      <c r="L562" s="16"/>
      <c r="M562" s="16"/>
      <c r="N562" s="23" t="str">
        <f>HYPERLINK("http://slimages.macys.com/is/image/MCY/19977533 ")</f>
        <v xml:space="preserve">http://slimages.macys.com/is/image/MCY/19977533 </v>
      </c>
    </row>
    <row r="563" spans="1:14" x14ac:dyDescent="0.25">
      <c r="A563" s="21" t="s">
        <v>1692</v>
      </c>
      <c r="B563" s="16" t="s">
        <v>2537</v>
      </c>
      <c r="C563" s="17">
        <v>1</v>
      </c>
      <c r="D563" s="22">
        <v>26.11</v>
      </c>
      <c r="E563" s="22">
        <v>26.11</v>
      </c>
      <c r="F563" s="17" t="s">
        <v>385</v>
      </c>
      <c r="G563" s="16" t="s">
        <v>120</v>
      </c>
      <c r="H563" s="21" t="s">
        <v>27</v>
      </c>
      <c r="I563" s="16" t="s">
        <v>11</v>
      </c>
      <c r="J563" s="16" t="s">
        <v>343</v>
      </c>
      <c r="K563" s="16" t="s">
        <v>379</v>
      </c>
      <c r="L563" s="16"/>
      <c r="M563" s="16"/>
      <c r="N563" s="23" t="str">
        <f>HYPERLINK("http://slimages.macys.com/is/image/MCY/20186544 ")</f>
        <v xml:space="preserve">http://slimages.macys.com/is/image/MCY/20186544 </v>
      </c>
    </row>
    <row r="564" spans="1:14" x14ac:dyDescent="0.25">
      <c r="A564" s="21" t="s">
        <v>2538</v>
      </c>
      <c r="B564" s="16" t="s">
        <v>2539</v>
      </c>
      <c r="C564" s="17">
        <v>1</v>
      </c>
      <c r="D564" s="22">
        <v>34.799999999999997</v>
      </c>
      <c r="E564" s="22">
        <v>34.799999999999997</v>
      </c>
      <c r="F564" s="17" t="s">
        <v>386</v>
      </c>
      <c r="G564" s="16" t="s">
        <v>125</v>
      </c>
      <c r="H564" s="21" t="s">
        <v>32</v>
      </c>
      <c r="I564" s="16" t="s">
        <v>11</v>
      </c>
      <c r="J564" s="16" t="s">
        <v>343</v>
      </c>
      <c r="K564" s="16" t="s">
        <v>379</v>
      </c>
      <c r="L564" s="16"/>
      <c r="M564" s="16"/>
      <c r="N564" s="23" t="str">
        <f>HYPERLINK("http://slimages.macys.com/is/image/MCY/20067376 ")</f>
        <v xml:space="preserve">http://slimages.macys.com/is/image/MCY/20067376 </v>
      </c>
    </row>
    <row r="565" spans="1:14" x14ac:dyDescent="0.25">
      <c r="A565" s="21" t="s">
        <v>2543</v>
      </c>
      <c r="B565" s="16" t="s">
        <v>2544</v>
      </c>
      <c r="C565" s="17">
        <v>1</v>
      </c>
      <c r="D565" s="22">
        <v>34.799999999999997</v>
      </c>
      <c r="E565" s="22">
        <v>34.799999999999997</v>
      </c>
      <c r="F565" s="17" t="s">
        <v>1270</v>
      </c>
      <c r="G565" s="16" t="s">
        <v>122</v>
      </c>
      <c r="H565" s="21" t="s">
        <v>40</v>
      </c>
      <c r="I565" s="16" t="s">
        <v>11</v>
      </c>
      <c r="J565" s="16" t="s">
        <v>343</v>
      </c>
      <c r="K565" s="16" t="s">
        <v>379</v>
      </c>
      <c r="L565" s="16"/>
      <c r="M565" s="16"/>
      <c r="N565" s="23" t="str">
        <f>HYPERLINK("http://slimages.macys.com/is/image/MCY/20067346 ")</f>
        <v xml:space="preserve">http://slimages.macys.com/is/image/MCY/20067346 </v>
      </c>
    </row>
    <row r="566" spans="1:14" x14ac:dyDescent="0.25">
      <c r="A566" s="21" t="s">
        <v>2601</v>
      </c>
      <c r="B566" s="16" t="s">
        <v>2602</v>
      </c>
      <c r="C566" s="17">
        <v>1</v>
      </c>
      <c r="D566" s="22">
        <v>27.6</v>
      </c>
      <c r="E566" s="22">
        <v>27.6</v>
      </c>
      <c r="F566" s="17" t="s">
        <v>1289</v>
      </c>
      <c r="G566" s="16" t="s">
        <v>135</v>
      </c>
      <c r="H566" s="21" t="s">
        <v>32</v>
      </c>
      <c r="I566" s="16" t="s">
        <v>11</v>
      </c>
      <c r="J566" s="16" t="s">
        <v>343</v>
      </c>
      <c r="K566" s="16" t="s">
        <v>379</v>
      </c>
      <c r="L566" s="16"/>
      <c r="M566" s="16"/>
      <c r="N566" s="23" t="str">
        <f>HYPERLINK("http://slimages.macys.com/is/image/MCY/19626322 ")</f>
        <v xml:space="preserve">http://slimages.macys.com/is/image/MCY/19626322 </v>
      </c>
    </row>
    <row r="567" spans="1:14" x14ac:dyDescent="0.25">
      <c r="A567" s="21" t="s">
        <v>1762</v>
      </c>
      <c r="B567" s="16" t="s">
        <v>1763</v>
      </c>
      <c r="C567" s="17">
        <v>1</v>
      </c>
      <c r="D567" s="22">
        <v>27.6</v>
      </c>
      <c r="E567" s="22">
        <v>27.6</v>
      </c>
      <c r="F567" s="17" t="s">
        <v>1289</v>
      </c>
      <c r="G567" s="16" t="s">
        <v>135</v>
      </c>
      <c r="H567" s="21" t="s">
        <v>40</v>
      </c>
      <c r="I567" s="16" t="s">
        <v>11</v>
      </c>
      <c r="J567" s="16" t="s">
        <v>343</v>
      </c>
      <c r="K567" s="16" t="s">
        <v>379</v>
      </c>
      <c r="L567" s="16"/>
      <c r="M567" s="16"/>
      <c r="N567" s="23" t="str">
        <f>HYPERLINK("http://slimages.macys.com/is/image/MCY/19626322 ")</f>
        <v xml:space="preserve">http://slimages.macys.com/is/image/MCY/19626322 </v>
      </c>
    </row>
    <row r="568" spans="1:14" x14ac:dyDescent="0.25">
      <c r="A568" s="21" t="s">
        <v>2603</v>
      </c>
      <c r="B568" s="16" t="s">
        <v>2604</v>
      </c>
      <c r="C568" s="17">
        <v>1</v>
      </c>
      <c r="D568" s="22">
        <v>27.6</v>
      </c>
      <c r="E568" s="22">
        <v>27.6</v>
      </c>
      <c r="F568" s="17" t="s">
        <v>1289</v>
      </c>
      <c r="G568" s="16" t="s">
        <v>31</v>
      </c>
      <c r="H568" s="21" t="s">
        <v>32</v>
      </c>
      <c r="I568" s="16" t="s">
        <v>11</v>
      </c>
      <c r="J568" s="16" t="s">
        <v>343</v>
      </c>
      <c r="K568" s="16" t="s">
        <v>379</v>
      </c>
      <c r="L568" s="16"/>
      <c r="M568" s="16"/>
      <c r="N568" s="23" t="str">
        <f>HYPERLINK("http://slimages.macys.com/is/image/MCY/19626266 ")</f>
        <v xml:space="preserve">http://slimages.macys.com/is/image/MCY/19626266 </v>
      </c>
    </row>
    <row r="569" spans="1:14" x14ac:dyDescent="0.25">
      <c r="A569" s="21" t="s">
        <v>2605</v>
      </c>
      <c r="B569" s="16" t="s">
        <v>2606</v>
      </c>
      <c r="C569" s="17">
        <v>1</v>
      </c>
      <c r="D569" s="22">
        <v>27.6</v>
      </c>
      <c r="E569" s="22">
        <v>27.6</v>
      </c>
      <c r="F569" s="17" t="s">
        <v>1289</v>
      </c>
      <c r="G569" s="16" t="s">
        <v>963</v>
      </c>
      <c r="H569" s="21" t="s">
        <v>27</v>
      </c>
      <c r="I569" s="16" t="s">
        <v>11</v>
      </c>
      <c r="J569" s="16" t="s">
        <v>343</v>
      </c>
      <c r="K569" s="16" t="s">
        <v>379</v>
      </c>
      <c r="L569" s="16"/>
      <c r="M569" s="16"/>
      <c r="N569" s="23" t="str">
        <f>HYPERLINK("http://slimages.macys.com/is/image/MCY/19626266 ")</f>
        <v xml:space="preserve">http://slimages.macys.com/is/image/MCY/19626266 </v>
      </c>
    </row>
    <row r="570" spans="1:14" x14ac:dyDescent="0.25">
      <c r="A570" s="21" t="s">
        <v>2599</v>
      </c>
      <c r="B570" s="16" t="s">
        <v>2600</v>
      </c>
      <c r="C570" s="17">
        <v>1</v>
      </c>
      <c r="D570" s="22">
        <v>27.6</v>
      </c>
      <c r="E570" s="22">
        <v>27.6</v>
      </c>
      <c r="F570" s="17" t="s">
        <v>1289</v>
      </c>
      <c r="G570" s="16" t="s">
        <v>238</v>
      </c>
      <c r="H570" s="21" t="s">
        <v>27</v>
      </c>
      <c r="I570" s="16" t="s">
        <v>11</v>
      </c>
      <c r="J570" s="16" t="s">
        <v>343</v>
      </c>
      <c r="K570" s="16" t="s">
        <v>379</v>
      </c>
      <c r="L570" s="16"/>
      <c r="M570" s="16"/>
      <c r="N570" s="23" t="str">
        <f>HYPERLINK("http://slimages.macys.com/is/image/MCY/20067692 ")</f>
        <v xml:space="preserve">http://slimages.macys.com/is/image/MCY/20067692 </v>
      </c>
    </row>
    <row r="571" spans="1:14" x14ac:dyDescent="0.25">
      <c r="A571" s="21" t="s">
        <v>1981</v>
      </c>
      <c r="B571" s="16" t="s">
        <v>1982</v>
      </c>
      <c r="C571" s="17">
        <v>1</v>
      </c>
      <c r="D571" s="22">
        <v>27.6</v>
      </c>
      <c r="E571" s="22">
        <v>27.6</v>
      </c>
      <c r="F571" s="17" t="s">
        <v>1983</v>
      </c>
      <c r="G571" s="16" t="s">
        <v>31</v>
      </c>
      <c r="H571" s="21" t="s">
        <v>27</v>
      </c>
      <c r="I571" s="16" t="s">
        <v>11</v>
      </c>
      <c r="J571" s="16" t="s">
        <v>343</v>
      </c>
      <c r="K571" s="16" t="s">
        <v>379</v>
      </c>
      <c r="L571" s="16"/>
      <c r="M571" s="16"/>
      <c r="N571" s="23" t="str">
        <f>HYPERLINK("http://slimages.macys.com/is/image/MCY/20385379 ")</f>
        <v xml:space="preserve">http://slimages.macys.com/is/image/MCY/20385379 </v>
      </c>
    </row>
    <row r="572" spans="1:14" x14ac:dyDescent="0.25">
      <c r="A572" s="21" t="s">
        <v>2624</v>
      </c>
      <c r="B572" s="16" t="s">
        <v>2625</v>
      </c>
      <c r="C572" s="17">
        <v>1</v>
      </c>
      <c r="D572" s="22">
        <v>27.6</v>
      </c>
      <c r="E572" s="22">
        <v>27.6</v>
      </c>
      <c r="F572" s="17" t="s">
        <v>774</v>
      </c>
      <c r="G572" s="16" t="s">
        <v>44</v>
      </c>
      <c r="H572" s="21" t="s">
        <v>32</v>
      </c>
      <c r="I572" s="16" t="s">
        <v>11</v>
      </c>
      <c r="J572" s="16" t="s">
        <v>343</v>
      </c>
      <c r="K572" s="16" t="s">
        <v>379</v>
      </c>
      <c r="L572" s="16"/>
      <c r="M572" s="16"/>
      <c r="N572" s="23" t="str">
        <f>HYPERLINK("http://slimages.macys.com/is/image/MCY/18830009 ")</f>
        <v xml:space="preserve">http://slimages.macys.com/is/image/MCY/18830009 </v>
      </c>
    </row>
    <row r="573" spans="1:14" x14ac:dyDescent="0.25">
      <c r="A573" s="21" t="s">
        <v>2613</v>
      </c>
      <c r="B573" s="16" t="s">
        <v>2614</v>
      </c>
      <c r="C573" s="17">
        <v>1</v>
      </c>
      <c r="D573" s="22">
        <v>25.2</v>
      </c>
      <c r="E573" s="22">
        <v>25.2</v>
      </c>
      <c r="F573" s="17" t="s">
        <v>1990</v>
      </c>
      <c r="G573" s="16" t="s">
        <v>202</v>
      </c>
      <c r="H573" s="21" t="s">
        <v>55</v>
      </c>
      <c r="I573" s="16" t="s">
        <v>11</v>
      </c>
      <c r="J573" s="16" t="s">
        <v>343</v>
      </c>
      <c r="K573" s="16" t="s">
        <v>379</v>
      </c>
      <c r="L573" s="16"/>
      <c r="M573" s="16"/>
      <c r="N573" s="23" t="str">
        <f>HYPERLINK("http://slimages.macys.com/is/image/MCY/19531982 ")</f>
        <v xml:space="preserve">http://slimages.macys.com/is/image/MCY/19531982 </v>
      </c>
    </row>
    <row r="574" spans="1:14" x14ac:dyDescent="0.25">
      <c r="A574" s="21" t="s">
        <v>2615</v>
      </c>
      <c r="B574" s="16" t="s">
        <v>2616</v>
      </c>
      <c r="C574" s="17">
        <v>1</v>
      </c>
      <c r="D574" s="22">
        <v>25.2</v>
      </c>
      <c r="E574" s="22">
        <v>25.2</v>
      </c>
      <c r="F574" s="17" t="s">
        <v>1990</v>
      </c>
      <c r="G574" s="16" t="s">
        <v>202</v>
      </c>
      <c r="H574" s="21" t="s">
        <v>27</v>
      </c>
      <c r="I574" s="16" t="s">
        <v>11</v>
      </c>
      <c r="J574" s="16" t="s">
        <v>343</v>
      </c>
      <c r="K574" s="16" t="s">
        <v>379</v>
      </c>
      <c r="L574" s="16"/>
      <c r="M574" s="16"/>
      <c r="N574" s="23" t="str">
        <f>HYPERLINK("http://slimages.macys.com/is/image/MCY/19531983 ")</f>
        <v xml:space="preserve">http://slimages.macys.com/is/image/MCY/19531983 </v>
      </c>
    </row>
    <row r="575" spans="1:14" x14ac:dyDescent="0.25">
      <c r="A575" s="21" t="s">
        <v>380</v>
      </c>
      <c r="B575" s="16" t="s">
        <v>381</v>
      </c>
      <c r="C575" s="17">
        <v>4</v>
      </c>
      <c r="D575" s="22">
        <v>34.799999999999997</v>
      </c>
      <c r="E575" s="22">
        <v>139.19999999999999</v>
      </c>
      <c r="F575" s="17" t="s">
        <v>377</v>
      </c>
      <c r="G575" s="16" t="s">
        <v>378</v>
      </c>
      <c r="H575" s="21" t="s">
        <v>32</v>
      </c>
      <c r="I575" s="16" t="s">
        <v>11</v>
      </c>
      <c r="J575" s="16" t="s">
        <v>343</v>
      </c>
      <c r="K575" s="16" t="s">
        <v>379</v>
      </c>
      <c r="L575" s="16"/>
      <c r="M575" s="16"/>
      <c r="N575" s="23" t="str">
        <f t="shared" ref="N575:N585" si="8">HYPERLINK("http://slimages.macys.com/is/image/MCY/20067424 ")</f>
        <v xml:space="preserve">http://slimages.macys.com/is/image/MCY/20067424 </v>
      </c>
    </row>
    <row r="576" spans="1:14" x14ac:dyDescent="0.25">
      <c r="A576" s="21" t="s">
        <v>375</v>
      </c>
      <c r="B576" s="16" t="s">
        <v>376</v>
      </c>
      <c r="C576" s="17">
        <v>3</v>
      </c>
      <c r="D576" s="22">
        <v>34.799999999999997</v>
      </c>
      <c r="E576" s="22">
        <v>104.4</v>
      </c>
      <c r="F576" s="17" t="s">
        <v>377</v>
      </c>
      <c r="G576" s="16" t="s">
        <v>378</v>
      </c>
      <c r="H576" s="21" t="s">
        <v>40</v>
      </c>
      <c r="I576" s="16" t="s">
        <v>11</v>
      </c>
      <c r="J576" s="16" t="s">
        <v>343</v>
      </c>
      <c r="K576" s="16" t="s">
        <v>379</v>
      </c>
      <c r="L576" s="16"/>
      <c r="M576" s="16"/>
      <c r="N576" s="23" t="str">
        <f t="shared" si="8"/>
        <v xml:space="preserve">http://slimages.macys.com/is/image/MCY/20067424 </v>
      </c>
    </row>
    <row r="577" spans="1:14" x14ac:dyDescent="0.25">
      <c r="A577" s="21" t="s">
        <v>1264</v>
      </c>
      <c r="B577" s="16" t="s">
        <v>1265</v>
      </c>
      <c r="C577" s="17">
        <v>3</v>
      </c>
      <c r="D577" s="22">
        <v>34.799999999999997</v>
      </c>
      <c r="E577" s="22">
        <v>104.4</v>
      </c>
      <c r="F577" s="17" t="s">
        <v>377</v>
      </c>
      <c r="G577" s="16" t="s">
        <v>378</v>
      </c>
      <c r="H577" s="21" t="s">
        <v>27</v>
      </c>
      <c r="I577" s="16" t="s">
        <v>11</v>
      </c>
      <c r="J577" s="16" t="s">
        <v>343</v>
      </c>
      <c r="K577" s="16" t="s">
        <v>379</v>
      </c>
      <c r="L577" s="16"/>
      <c r="M577" s="16"/>
      <c r="N577" s="23" t="str">
        <f t="shared" si="8"/>
        <v xml:space="preserve">http://slimages.macys.com/is/image/MCY/20067424 </v>
      </c>
    </row>
    <row r="578" spans="1:14" x14ac:dyDescent="0.25">
      <c r="A578" s="21" t="s">
        <v>1754</v>
      </c>
      <c r="B578" s="16" t="s">
        <v>1755</v>
      </c>
      <c r="C578" s="17">
        <v>12</v>
      </c>
      <c r="D578" s="22">
        <v>34.799999999999997</v>
      </c>
      <c r="E578" s="22">
        <v>417.6</v>
      </c>
      <c r="F578" s="17" t="s">
        <v>377</v>
      </c>
      <c r="G578" s="16" t="s">
        <v>122</v>
      </c>
      <c r="H578" s="21" t="s">
        <v>32</v>
      </c>
      <c r="I578" s="16" t="s">
        <v>11</v>
      </c>
      <c r="J578" s="16" t="s">
        <v>343</v>
      </c>
      <c r="K578" s="16" t="s">
        <v>379</v>
      </c>
      <c r="L578" s="16"/>
      <c r="M578" s="16"/>
      <c r="N578" s="23" t="str">
        <f t="shared" si="8"/>
        <v xml:space="preserve">http://slimages.macys.com/is/image/MCY/20067424 </v>
      </c>
    </row>
    <row r="579" spans="1:14" x14ac:dyDescent="0.25">
      <c r="A579" s="21" t="s">
        <v>1752</v>
      </c>
      <c r="B579" s="16" t="s">
        <v>1753</v>
      </c>
      <c r="C579" s="17">
        <v>9</v>
      </c>
      <c r="D579" s="22">
        <v>34.799999999999997</v>
      </c>
      <c r="E579" s="22">
        <v>313.2</v>
      </c>
      <c r="F579" s="17" t="s">
        <v>377</v>
      </c>
      <c r="G579" s="16" t="s">
        <v>122</v>
      </c>
      <c r="H579" s="21" t="s">
        <v>40</v>
      </c>
      <c r="I579" s="16" t="s">
        <v>11</v>
      </c>
      <c r="J579" s="16" t="s">
        <v>343</v>
      </c>
      <c r="K579" s="16" t="s">
        <v>379</v>
      </c>
      <c r="L579" s="16"/>
      <c r="M579" s="16"/>
      <c r="N579" s="23" t="str">
        <f t="shared" si="8"/>
        <v xml:space="preserve">http://slimages.macys.com/is/image/MCY/20067424 </v>
      </c>
    </row>
    <row r="580" spans="1:14" x14ac:dyDescent="0.25">
      <c r="A580" s="21" t="s">
        <v>2533</v>
      </c>
      <c r="B580" s="16" t="s">
        <v>2534</v>
      </c>
      <c r="C580" s="17">
        <v>7</v>
      </c>
      <c r="D580" s="22">
        <v>34.799999999999997</v>
      </c>
      <c r="E580" s="22">
        <v>243.6</v>
      </c>
      <c r="F580" s="17" t="s">
        <v>377</v>
      </c>
      <c r="G580" s="16" t="s">
        <v>122</v>
      </c>
      <c r="H580" s="21" t="s">
        <v>55</v>
      </c>
      <c r="I580" s="16" t="s">
        <v>11</v>
      </c>
      <c r="J580" s="16" t="s">
        <v>343</v>
      </c>
      <c r="K580" s="16" t="s">
        <v>379</v>
      </c>
      <c r="L580" s="16"/>
      <c r="M580" s="16"/>
      <c r="N580" s="23" t="str">
        <f t="shared" si="8"/>
        <v xml:space="preserve">http://slimages.macys.com/is/image/MCY/20067424 </v>
      </c>
    </row>
    <row r="581" spans="1:14" x14ac:dyDescent="0.25">
      <c r="A581" s="21" t="s">
        <v>1750</v>
      </c>
      <c r="B581" s="16" t="s">
        <v>1751</v>
      </c>
      <c r="C581" s="17">
        <v>5</v>
      </c>
      <c r="D581" s="22">
        <v>34.799999999999997</v>
      </c>
      <c r="E581" s="22">
        <v>174</v>
      </c>
      <c r="F581" s="17" t="s">
        <v>377</v>
      </c>
      <c r="G581" s="16" t="s">
        <v>122</v>
      </c>
      <c r="H581" s="21" t="s">
        <v>27</v>
      </c>
      <c r="I581" s="16" t="s">
        <v>11</v>
      </c>
      <c r="J581" s="16" t="s">
        <v>343</v>
      </c>
      <c r="K581" s="16" t="s">
        <v>379</v>
      </c>
      <c r="L581" s="16"/>
      <c r="M581" s="16"/>
      <c r="N581" s="23" t="str">
        <f t="shared" si="8"/>
        <v xml:space="preserve">http://slimages.macys.com/is/image/MCY/20067424 </v>
      </c>
    </row>
    <row r="582" spans="1:14" x14ac:dyDescent="0.25">
      <c r="A582" s="21" t="s">
        <v>1748</v>
      </c>
      <c r="B582" s="16" t="s">
        <v>1749</v>
      </c>
      <c r="C582" s="17">
        <v>9</v>
      </c>
      <c r="D582" s="22">
        <v>34.799999999999997</v>
      </c>
      <c r="E582" s="22">
        <v>313.2</v>
      </c>
      <c r="F582" s="17" t="s">
        <v>377</v>
      </c>
      <c r="G582" s="16" t="s">
        <v>102</v>
      </c>
      <c r="H582" s="21" t="s">
        <v>32</v>
      </c>
      <c r="I582" s="16" t="s">
        <v>11</v>
      </c>
      <c r="J582" s="16" t="s">
        <v>343</v>
      </c>
      <c r="K582" s="16" t="s">
        <v>379</v>
      </c>
      <c r="L582" s="16"/>
      <c r="M582" s="16"/>
      <c r="N582" s="23" t="str">
        <f t="shared" si="8"/>
        <v xml:space="preserve">http://slimages.macys.com/is/image/MCY/20067424 </v>
      </c>
    </row>
    <row r="583" spans="1:14" x14ac:dyDescent="0.25">
      <c r="A583" s="21" t="s">
        <v>2529</v>
      </c>
      <c r="B583" s="16" t="s">
        <v>2530</v>
      </c>
      <c r="C583" s="17">
        <v>8</v>
      </c>
      <c r="D583" s="22">
        <v>34.799999999999997</v>
      </c>
      <c r="E583" s="22">
        <v>278.39999999999998</v>
      </c>
      <c r="F583" s="17" t="s">
        <v>377</v>
      </c>
      <c r="G583" s="16" t="s">
        <v>102</v>
      </c>
      <c r="H583" s="21" t="s">
        <v>40</v>
      </c>
      <c r="I583" s="16" t="s">
        <v>11</v>
      </c>
      <c r="J583" s="16" t="s">
        <v>343</v>
      </c>
      <c r="K583" s="16" t="s">
        <v>379</v>
      </c>
      <c r="L583" s="16"/>
      <c r="M583" s="16"/>
      <c r="N583" s="23" t="str">
        <f t="shared" si="8"/>
        <v xml:space="preserve">http://slimages.macys.com/is/image/MCY/20067424 </v>
      </c>
    </row>
    <row r="584" spans="1:14" x14ac:dyDescent="0.25">
      <c r="A584" s="21" t="s">
        <v>2531</v>
      </c>
      <c r="B584" s="16" t="s">
        <v>2532</v>
      </c>
      <c r="C584" s="17">
        <v>2</v>
      </c>
      <c r="D584" s="22">
        <v>34.799999999999997</v>
      </c>
      <c r="E584" s="22">
        <v>69.599999999999994</v>
      </c>
      <c r="F584" s="17" t="s">
        <v>377</v>
      </c>
      <c r="G584" s="16" t="s">
        <v>102</v>
      </c>
      <c r="H584" s="21" t="s">
        <v>55</v>
      </c>
      <c r="I584" s="16" t="s">
        <v>11</v>
      </c>
      <c r="J584" s="16" t="s">
        <v>343</v>
      </c>
      <c r="K584" s="16" t="s">
        <v>379</v>
      </c>
      <c r="L584" s="16"/>
      <c r="M584" s="16"/>
      <c r="N584" s="23" t="str">
        <f t="shared" si="8"/>
        <v xml:space="preserve">http://slimages.macys.com/is/image/MCY/20067424 </v>
      </c>
    </row>
    <row r="585" spans="1:14" x14ac:dyDescent="0.25">
      <c r="A585" s="21" t="s">
        <v>1953</v>
      </c>
      <c r="B585" s="16" t="s">
        <v>1954</v>
      </c>
      <c r="C585" s="17">
        <v>3</v>
      </c>
      <c r="D585" s="22">
        <v>34.799999999999997</v>
      </c>
      <c r="E585" s="22">
        <v>104.4</v>
      </c>
      <c r="F585" s="17" t="s">
        <v>377</v>
      </c>
      <c r="G585" s="16" t="s">
        <v>102</v>
      </c>
      <c r="H585" s="21" t="s">
        <v>27</v>
      </c>
      <c r="I585" s="16" t="s">
        <v>11</v>
      </c>
      <c r="J585" s="16" t="s">
        <v>343</v>
      </c>
      <c r="K585" s="16" t="s">
        <v>379</v>
      </c>
      <c r="L585" s="16"/>
      <c r="M585" s="16"/>
      <c r="N585" s="23" t="str">
        <f t="shared" si="8"/>
        <v xml:space="preserve">http://slimages.macys.com/is/image/MCY/20067424 </v>
      </c>
    </row>
    <row r="586" spans="1:14" x14ac:dyDescent="0.25">
      <c r="A586" s="21" t="s">
        <v>1975</v>
      </c>
      <c r="B586" s="16" t="s">
        <v>1976</v>
      </c>
      <c r="C586" s="17">
        <v>1</v>
      </c>
      <c r="D586" s="22">
        <v>34.799999999999997</v>
      </c>
      <c r="E586" s="22">
        <v>34.799999999999997</v>
      </c>
      <c r="F586" s="17" t="s">
        <v>1272</v>
      </c>
      <c r="G586" s="16" t="s">
        <v>44</v>
      </c>
      <c r="H586" s="21" t="s">
        <v>27</v>
      </c>
      <c r="I586" s="16" t="s">
        <v>11</v>
      </c>
      <c r="J586" s="16" t="s">
        <v>343</v>
      </c>
      <c r="K586" s="16" t="s">
        <v>379</v>
      </c>
      <c r="L586" s="16"/>
      <c r="M586" s="16"/>
      <c r="N586" s="23" t="str">
        <f>HYPERLINK("http://slimages.macys.com/is/image/MCY/20291358 ")</f>
        <v xml:space="preserve">http://slimages.macys.com/is/image/MCY/20291358 </v>
      </c>
    </row>
    <row r="587" spans="1:14" x14ac:dyDescent="0.25">
      <c r="A587" s="21" t="s">
        <v>2557</v>
      </c>
      <c r="B587" s="16" t="s">
        <v>2558</v>
      </c>
      <c r="C587" s="17">
        <v>1</v>
      </c>
      <c r="D587" s="22">
        <v>34.799999999999997</v>
      </c>
      <c r="E587" s="22">
        <v>34.799999999999997</v>
      </c>
      <c r="F587" s="17" t="s">
        <v>1272</v>
      </c>
      <c r="G587" s="16" t="s">
        <v>137</v>
      </c>
      <c r="H587" s="21" t="s">
        <v>40</v>
      </c>
      <c r="I587" s="16" t="s">
        <v>11</v>
      </c>
      <c r="J587" s="16" t="s">
        <v>343</v>
      </c>
      <c r="K587" s="16" t="s">
        <v>379</v>
      </c>
      <c r="L587" s="16"/>
      <c r="M587" s="16"/>
      <c r="N587" s="23" t="str">
        <f>HYPERLINK("http://slimages.macys.com/is/image/MCY/20291358 ")</f>
        <v xml:space="preserve">http://slimages.macys.com/is/image/MCY/20291358 </v>
      </c>
    </row>
    <row r="588" spans="1:14" x14ac:dyDescent="0.25">
      <c r="A588" s="21" t="s">
        <v>1697</v>
      </c>
      <c r="B588" s="16" t="s">
        <v>2575</v>
      </c>
      <c r="C588" s="17">
        <v>1</v>
      </c>
      <c r="D588" s="22">
        <v>27.6</v>
      </c>
      <c r="E588" s="22">
        <v>27.6</v>
      </c>
      <c r="F588" s="17" t="s">
        <v>1045</v>
      </c>
      <c r="G588" s="16" t="s">
        <v>137</v>
      </c>
      <c r="H588" s="21" t="s">
        <v>40</v>
      </c>
      <c r="I588" s="16" t="s">
        <v>11</v>
      </c>
      <c r="J588" s="16" t="s">
        <v>343</v>
      </c>
      <c r="K588" s="16" t="s">
        <v>379</v>
      </c>
      <c r="L588" s="16"/>
      <c r="M588" s="16"/>
      <c r="N588" s="23" t="str">
        <f>HYPERLINK("http://slimages.macys.com/is/image/MCY/20376353 ")</f>
        <v xml:space="preserve">http://slimages.macys.com/is/image/MCY/20376353 </v>
      </c>
    </row>
    <row r="589" spans="1:14" x14ac:dyDescent="0.25">
      <c r="A589" s="21" t="s">
        <v>2595</v>
      </c>
      <c r="B589" s="16" t="s">
        <v>2596</v>
      </c>
      <c r="C589" s="17">
        <v>2</v>
      </c>
      <c r="D589" s="22">
        <v>27.6</v>
      </c>
      <c r="E589" s="22">
        <v>55.2</v>
      </c>
      <c r="F589" s="17" t="s">
        <v>1045</v>
      </c>
      <c r="G589" s="16" t="s">
        <v>238</v>
      </c>
      <c r="H589" s="21" t="s">
        <v>32</v>
      </c>
      <c r="I589" s="16" t="s">
        <v>11</v>
      </c>
      <c r="J589" s="16" t="s">
        <v>343</v>
      </c>
      <c r="K589" s="16" t="s">
        <v>379</v>
      </c>
      <c r="L589" s="16"/>
      <c r="M589" s="16"/>
      <c r="N589" s="23" t="str">
        <f>HYPERLINK("http://slimages.macys.com/is/image/MCY/20376353 ")</f>
        <v xml:space="preserve">http://slimages.macys.com/is/image/MCY/20376353 </v>
      </c>
    </row>
    <row r="590" spans="1:14" x14ac:dyDescent="0.25">
      <c r="A590" s="21" t="s">
        <v>2593</v>
      </c>
      <c r="B590" s="16" t="s">
        <v>2594</v>
      </c>
      <c r="C590" s="17">
        <v>1</v>
      </c>
      <c r="D590" s="22">
        <v>27.6</v>
      </c>
      <c r="E590" s="22">
        <v>27.6</v>
      </c>
      <c r="F590" s="17" t="s">
        <v>1045</v>
      </c>
      <c r="G590" s="16" t="s">
        <v>238</v>
      </c>
      <c r="H590" s="21" t="s">
        <v>55</v>
      </c>
      <c r="I590" s="16" t="s">
        <v>11</v>
      </c>
      <c r="J590" s="16" t="s">
        <v>343</v>
      </c>
      <c r="K590" s="16" t="s">
        <v>379</v>
      </c>
      <c r="L590" s="16"/>
      <c r="M590" s="16"/>
      <c r="N590" s="23" t="str">
        <f>HYPERLINK("http://slimages.macys.com/is/image/MCY/20376353 ")</f>
        <v xml:space="preserve">http://slimages.macys.com/is/image/MCY/20376353 </v>
      </c>
    </row>
    <row r="591" spans="1:14" x14ac:dyDescent="0.25">
      <c r="A591" s="21" t="s">
        <v>1315</v>
      </c>
      <c r="B591" s="16" t="s">
        <v>1316</v>
      </c>
      <c r="C591" s="17">
        <v>1</v>
      </c>
      <c r="D591" s="22">
        <v>36</v>
      </c>
      <c r="E591" s="22">
        <v>36</v>
      </c>
      <c r="F591" s="17" t="s">
        <v>1306</v>
      </c>
      <c r="G591" s="16" t="s">
        <v>44</v>
      </c>
      <c r="H591" s="21" t="s">
        <v>40</v>
      </c>
      <c r="I591" s="16" t="s">
        <v>11</v>
      </c>
      <c r="J591" s="16" t="s">
        <v>343</v>
      </c>
      <c r="K591" s="16" t="s">
        <v>379</v>
      </c>
      <c r="L591" s="16"/>
      <c r="M591" s="16"/>
      <c r="N591" s="23" t="str">
        <f>HYPERLINK("http://slimages.macys.com/is/image/MCY/19626293 ")</f>
        <v xml:space="preserve">http://slimages.macys.com/is/image/MCY/19626293 </v>
      </c>
    </row>
    <row r="592" spans="1:14" x14ac:dyDescent="0.25">
      <c r="A592" s="21" t="s">
        <v>1703</v>
      </c>
      <c r="B592" s="16" t="s">
        <v>2644</v>
      </c>
      <c r="C592" s="17">
        <v>2</v>
      </c>
      <c r="D592" s="22">
        <v>36</v>
      </c>
      <c r="E592" s="22">
        <v>72</v>
      </c>
      <c r="F592" s="17" t="s">
        <v>408</v>
      </c>
      <c r="G592" s="16" t="s">
        <v>83</v>
      </c>
      <c r="H592" s="21" t="s">
        <v>40</v>
      </c>
      <c r="I592" s="16" t="s">
        <v>11</v>
      </c>
      <c r="J592" s="16" t="s">
        <v>343</v>
      </c>
      <c r="K592" s="16" t="s">
        <v>379</v>
      </c>
      <c r="L592" s="16"/>
      <c r="M592" s="16"/>
      <c r="N592" s="23" t="str">
        <f>HYPERLINK("http://slimages.macys.com/is/image/MCY/19626313 ")</f>
        <v xml:space="preserve">http://slimages.macys.com/is/image/MCY/19626313 </v>
      </c>
    </row>
    <row r="593" spans="1:14" x14ac:dyDescent="0.25">
      <c r="A593" s="21" t="s">
        <v>2692</v>
      </c>
      <c r="B593" s="16" t="s">
        <v>2693</v>
      </c>
      <c r="C593" s="17">
        <v>1</v>
      </c>
      <c r="D593" s="22">
        <v>58</v>
      </c>
      <c r="E593" s="22">
        <v>58</v>
      </c>
      <c r="F593" s="17" t="s">
        <v>2694</v>
      </c>
      <c r="G593" s="16" t="s">
        <v>349</v>
      </c>
      <c r="H593" s="21" t="s">
        <v>40</v>
      </c>
      <c r="I593" s="16" t="s">
        <v>11</v>
      </c>
      <c r="J593" s="16" t="s">
        <v>533</v>
      </c>
      <c r="K593" s="16" t="s">
        <v>535</v>
      </c>
      <c r="L593" s="16" t="s">
        <v>111</v>
      </c>
      <c r="M593" s="16" t="s">
        <v>2695</v>
      </c>
      <c r="N593" s="23" t="str">
        <f>HYPERLINK("http://slimages.macys.com/is/image/MCY/3769625 ")</f>
        <v xml:space="preserve">http://slimages.macys.com/is/image/MCY/3769625 </v>
      </c>
    </row>
    <row r="594" spans="1:14" x14ac:dyDescent="0.25">
      <c r="A594" s="21" t="s">
        <v>2293</v>
      </c>
      <c r="B594" s="16" t="s">
        <v>2294</v>
      </c>
      <c r="C594" s="17">
        <v>1</v>
      </c>
      <c r="D594" s="22">
        <v>62</v>
      </c>
      <c r="E594" s="22">
        <v>62</v>
      </c>
      <c r="F594" s="17">
        <v>853291</v>
      </c>
      <c r="G594" s="16"/>
      <c r="H594" s="21" t="s">
        <v>112</v>
      </c>
      <c r="I594" s="16" t="s">
        <v>11</v>
      </c>
      <c r="J594" s="16" t="s">
        <v>233</v>
      </c>
      <c r="K594" s="16" t="s">
        <v>234</v>
      </c>
      <c r="L594" s="16"/>
      <c r="M594" s="16"/>
      <c r="N594" s="23" t="str">
        <f>HYPERLINK("http://slimages.macys.com/is/image/MCY/19261185 ")</f>
        <v xml:space="preserve">http://slimages.macys.com/is/image/MCY/19261185 </v>
      </c>
    </row>
  </sheetData>
  <sortState ref="A2:N594">
    <sortCondition ref="B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workbookViewId="0">
      <selection activeCell="D11" sqref="D11"/>
    </sheetView>
  </sheetViews>
  <sheetFormatPr defaultColWidth="85.85546875" defaultRowHeight="15" x14ac:dyDescent="0.25"/>
  <cols>
    <col min="1" max="1" width="13.140625" style="12" bestFit="1" customWidth="1"/>
    <col min="2" max="2" width="59" style="12" bestFit="1" customWidth="1"/>
    <col min="3" max="3" width="12.42578125" style="12" bestFit="1" customWidth="1"/>
    <col min="4" max="4" width="15" style="12" bestFit="1" customWidth="1"/>
    <col min="5" max="5" width="21" style="12" bestFit="1" customWidth="1"/>
    <col min="6" max="6" width="15.85546875" style="12" bestFit="1" customWidth="1"/>
    <col min="7" max="7" width="12.140625" style="12" bestFit="1" customWidth="1"/>
    <col min="8" max="8" width="10.85546875" style="12" bestFit="1" customWidth="1"/>
    <col min="9" max="9" width="8.140625" style="12" bestFit="1" customWidth="1"/>
    <col min="10" max="10" width="17.5703125" style="12" bestFit="1" customWidth="1"/>
    <col min="11" max="11" width="39.5703125" style="12" bestFit="1" customWidth="1"/>
    <col min="12" max="12" width="17.7109375" style="12" bestFit="1" customWidth="1"/>
    <col min="13" max="13" width="25.85546875" style="12" bestFit="1" customWidth="1"/>
    <col min="14" max="14" width="42.85546875" style="12" bestFit="1" customWidth="1"/>
    <col min="15" max="16384" width="85.85546875" style="12"/>
  </cols>
  <sheetData>
    <row r="1" spans="1:14" x14ac:dyDescent="0.25">
      <c r="A1" s="1" t="s">
        <v>12</v>
      </c>
      <c r="B1" s="1" t="s">
        <v>13</v>
      </c>
      <c r="C1" s="1" t="s">
        <v>14</v>
      </c>
      <c r="D1" s="1" t="s">
        <v>5</v>
      </c>
      <c r="E1" s="1" t="s">
        <v>9</v>
      </c>
      <c r="F1" s="1" t="s">
        <v>15</v>
      </c>
      <c r="G1" s="1" t="s">
        <v>16</v>
      </c>
      <c r="H1" s="1" t="s">
        <v>17</v>
      </c>
      <c r="I1" s="1" t="s">
        <v>10</v>
      </c>
      <c r="J1" s="1" t="s">
        <v>18</v>
      </c>
      <c r="K1" s="1" t="s">
        <v>19</v>
      </c>
      <c r="L1" s="1" t="s">
        <v>20</v>
      </c>
      <c r="M1" s="1" t="s">
        <v>21</v>
      </c>
      <c r="N1" s="1" t="s">
        <v>22</v>
      </c>
    </row>
    <row r="2" spans="1:14" x14ac:dyDescent="0.25">
      <c r="A2" s="19" t="s">
        <v>566</v>
      </c>
      <c r="B2" s="13" t="s">
        <v>567</v>
      </c>
      <c r="C2" s="8">
        <v>18</v>
      </c>
      <c r="D2" s="9">
        <v>34.99</v>
      </c>
      <c r="E2" s="9">
        <v>629.82000000000005</v>
      </c>
      <c r="F2" s="8" t="s">
        <v>43</v>
      </c>
      <c r="G2" s="13" t="s">
        <v>44</v>
      </c>
      <c r="H2" s="19" t="s">
        <v>55</v>
      </c>
      <c r="I2" s="13" t="s">
        <v>11</v>
      </c>
      <c r="J2" s="13" t="s">
        <v>28</v>
      </c>
      <c r="K2" s="13" t="s">
        <v>29</v>
      </c>
      <c r="L2" s="13"/>
      <c r="M2" s="13"/>
      <c r="N2" s="20" t="str">
        <f>HYPERLINK("http://slimages.macys.com/is/image/MCY/18574724 ")</f>
        <v xml:space="preserve">http://slimages.macys.com/is/image/MCY/18574724 </v>
      </c>
    </row>
    <row r="3" spans="1:14" x14ac:dyDescent="0.25">
      <c r="A3" s="19" t="s">
        <v>45</v>
      </c>
      <c r="B3" s="13" t="s">
        <v>46</v>
      </c>
      <c r="C3" s="8">
        <v>19</v>
      </c>
      <c r="D3" s="9">
        <v>34.99</v>
      </c>
      <c r="E3" s="9">
        <v>664.81</v>
      </c>
      <c r="F3" s="8" t="s">
        <v>43</v>
      </c>
      <c r="G3" s="13" t="s">
        <v>44</v>
      </c>
      <c r="H3" s="19" t="s">
        <v>47</v>
      </c>
      <c r="I3" s="13" t="s">
        <v>11</v>
      </c>
      <c r="J3" s="13" t="s">
        <v>28</v>
      </c>
      <c r="K3" s="13" t="s">
        <v>29</v>
      </c>
      <c r="L3" s="13"/>
      <c r="M3" s="13"/>
      <c r="N3" s="20" t="str">
        <f>HYPERLINK("http://slimages.macys.com/is/image/MCY/18742971 ")</f>
        <v xml:space="preserve">http://slimages.macys.com/is/image/MCY/18742971 </v>
      </c>
    </row>
    <row r="4" spans="1:14" x14ac:dyDescent="0.25">
      <c r="A4" s="19" t="s">
        <v>579</v>
      </c>
      <c r="B4" s="13" t="s">
        <v>580</v>
      </c>
      <c r="C4" s="8">
        <v>1</v>
      </c>
      <c r="D4" s="9">
        <v>39.99</v>
      </c>
      <c r="E4" s="9">
        <v>39.99</v>
      </c>
      <c r="F4" s="8" t="s">
        <v>576</v>
      </c>
      <c r="G4" s="13" t="s">
        <v>31</v>
      </c>
      <c r="H4" s="19" t="s">
        <v>40</v>
      </c>
      <c r="I4" s="13" t="s">
        <v>11</v>
      </c>
      <c r="J4" s="13" t="s">
        <v>28</v>
      </c>
      <c r="K4" s="13" t="s">
        <v>29</v>
      </c>
      <c r="L4" s="13"/>
      <c r="M4" s="13"/>
      <c r="N4" s="20" t="str">
        <f>HYPERLINK("http://slimages.macys.com/is/image/MCY/1017709 ")</f>
        <v xml:space="preserve">http://slimages.macys.com/is/image/MCY/1017709 </v>
      </c>
    </row>
    <row r="5" spans="1:14" x14ac:dyDescent="0.25">
      <c r="A5" s="19" t="s">
        <v>2074</v>
      </c>
      <c r="B5" s="13" t="s">
        <v>2075</v>
      </c>
      <c r="C5" s="8">
        <v>14</v>
      </c>
      <c r="D5" s="9">
        <v>39.99</v>
      </c>
      <c r="E5" s="9">
        <v>559.86</v>
      </c>
      <c r="F5" s="8" t="s">
        <v>576</v>
      </c>
      <c r="G5" s="13" t="s">
        <v>57</v>
      </c>
      <c r="H5" s="19" t="s">
        <v>40</v>
      </c>
      <c r="I5" s="13" t="s">
        <v>11</v>
      </c>
      <c r="J5" s="13" t="s">
        <v>28</v>
      </c>
      <c r="K5" s="13" t="s">
        <v>29</v>
      </c>
      <c r="L5" s="13"/>
      <c r="M5" s="13"/>
      <c r="N5" s="20" t="str">
        <f>HYPERLINK("http://slimages.macys.com/is/image/MCY/20051271 ")</f>
        <v xml:space="preserve">http://slimages.macys.com/is/image/MCY/20051271 </v>
      </c>
    </row>
    <row r="6" spans="1:14" x14ac:dyDescent="0.25">
      <c r="A6" s="19" t="s">
        <v>2072</v>
      </c>
      <c r="B6" s="13" t="s">
        <v>2073</v>
      </c>
      <c r="C6" s="8">
        <v>4</v>
      </c>
      <c r="D6" s="9">
        <v>39.99</v>
      </c>
      <c r="E6" s="9">
        <v>159.96</v>
      </c>
      <c r="F6" s="8" t="s">
        <v>576</v>
      </c>
      <c r="G6" s="13" t="s">
        <v>57</v>
      </c>
      <c r="H6" s="19" t="s">
        <v>55</v>
      </c>
      <c r="I6" s="13" t="s">
        <v>11</v>
      </c>
      <c r="J6" s="13" t="s">
        <v>28</v>
      </c>
      <c r="K6" s="13" t="s">
        <v>29</v>
      </c>
      <c r="L6" s="13"/>
      <c r="M6" s="13"/>
      <c r="N6" s="20" t="str">
        <f>HYPERLINK("http://slimages.macys.com/is/image/MCY/20051271 ")</f>
        <v xml:space="preserve">http://slimages.macys.com/is/image/MCY/20051271 </v>
      </c>
    </row>
    <row r="7" spans="1:14" x14ac:dyDescent="0.25">
      <c r="A7" s="19" t="s">
        <v>2076</v>
      </c>
      <c r="B7" s="13" t="s">
        <v>2077</v>
      </c>
      <c r="C7" s="8">
        <v>3</v>
      </c>
      <c r="D7" s="9">
        <v>39.99</v>
      </c>
      <c r="E7" s="9">
        <v>119.97</v>
      </c>
      <c r="F7" s="8" t="s">
        <v>576</v>
      </c>
      <c r="G7" s="13" t="s">
        <v>57</v>
      </c>
      <c r="H7" s="19" t="s">
        <v>47</v>
      </c>
      <c r="I7" s="13" t="s">
        <v>11</v>
      </c>
      <c r="J7" s="13" t="s">
        <v>28</v>
      </c>
      <c r="K7" s="13" t="s">
        <v>29</v>
      </c>
      <c r="L7" s="13"/>
      <c r="M7" s="13"/>
      <c r="N7" s="20" t="str">
        <f>HYPERLINK("http://slimages.macys.com/is/image/MCY/20051271 ")</f>
        <v xml:space="preserve">http://slimages.macys.com/is/image/MCY/20051271 </v>
      </c>
    </row>
    <row r="8" spans="1:14" x14ac:dyDescent="0.25">
      <c r="A8" s="19" t="s">
        <v>577</v>
      </c>
      <c r="B8" s="13" t="s">
        <v>578</v>
      </c>
      <c r="C8" s="8">
        <v>6</v>
      </c>
      <c r="D8" s="9">
        <v>39.99</v>
      </c>
      <c r="E8" s="9">
        <v>239.94</v>
      </c>
      <c r="F8" s="8" t="s">
        <v>576</v>
      </c>
      <c r="G8" s="13" t="s">
        <v>57</v>
      </c>
      <c r="H8" s="19" t="s">
        <v>87</v>
      </c>
      <c r="I8" s="13" t="s">
        <v>11</v>
      </c>
      <c r="J8" s="13" t="s">
        <v>28</v>
      </c>
      <c r="K8" s="13" t="s">
        <v>29</v>
      </c>
      <c r="L8" s="13"/>
      <c r="M8" s="13"/>
      <c r="N8" s="20" t="str">
        <f>HYPERLINK("http://slimages.macys.com/is/image/MCY/20052118 ")</f>
        <v xml:space="preserve">http://slimages.macys.com/is/image/MCY/20052118 </v>
      </c>
    </row>
    <row r="9" spans="1:14" x14ac:dyDescent="0.25">
      <c r="A9" s="19" t="s">
        <v>69</v>
      </c>
      <c r="B9" s="13" t="s">
        <v>70</v>
      </c>
      <c r="C9" s="8">
        <v>25</v>
      </c>
      <c r="D9" s="9">
        <v>25.99</v>
      </c>
      <c r="E9" s="9">
        <v>649.75</v>
      </c>
      <c r="F9" s="8" t="s">
        <v>71</v>
      </c>
      <c r="G9" s="13" t="s">
        <v>31</v>
      </c>
      <c r="H9" s="19" t="s">
        <v>55</v>
      </c>
      <c r="I9" s="13" t="s">
        <v>11</v>
      </c>
      <c r="J9" s="13" t="s">
        <v>28</v>
      </c>
      <c r="K9" s="13" t="s">
        <v>29</v>
      </c>
      <c r="L9" s="13"/>
      <c r="M9" s="13"/>
      <c r="N9" s="20" t="str">
        <f>HYPERLINK("http://slimages.macys.com/is/image/MCY/18574734 ")</f>
        <v xml:space="preserve">http://slimages.macys.com/is/image/MCY/18574734 </v>
      </c>
    </row>
    <row r="10" spans="1:14" x14ac:dyDescent="0.25">
      <c r="A10" s="19" t="s">
        <v>568</v>
      </c>
      <c r="B10" s="13" t="s">
        <v>569</v>
      </c>
      <c r="C10" s="8">
        <v>60</v>
      </c>
      <c r="D10" s="9">
        <v>25.99</v>
      </c>
      <c r="E10" s="9">
        <v>1559.4</v>
      </c>
      <c r="F10" s="8" t="s">
        <v>68</v>
      </c>
      <c r="G10" s="13" t="s">
        <v>44</v>
      </c>
      <c r="H10" s="19" t="s">
        <v>47</v>
      </c>
      <c r="I10" s="13" t="s">
        <v>11</v>
      </c>
      <c r="J10" s="13" t="s">
        <v>28</v>
      </c>
      <c r="K10" s="13" t="s">
        <v>29</v>
      </c>
      <c r="L10" s="13"/>
      <c r="M10" s="13"/>
      <c r="N10" s="20" t="str">
        <f>HYPERLINK("http://slimages.macys.com/is/image/MCY/18574734 ")</f>
        <v xml:space="preserve">http://slimages.macys.com/is/image/MCY/18574734 </v>
      </c>
    </row>
    <row r="11" spans="1:14" x14ac:dyDescent="0.25">
      <c r="A11" s="19" t="s">
        <v>203</v>
      </c>
      <c r="B11" s="13" t="s">
        <v>204</v>
      </c>
      <c r="C11" s="8">
        <v>2</v>
      </c>
      <c r="D11" s="9">
        <v>11.67</v>
      </c>
      <c r="E11" s="9">
        <v>23.34</v>
      </c>
      <c r="F11" s="8" t="s">
        <v>193</v>
      </c>
      <c r="G11" s="13" t="s">
        <v>125</v>
      </c>
      <c r="H11" s="19" t="s">
        <v>27</v>
      </c>
      <c r="I11" s="13" t="s">
        <v>11</v>
      </c>
      <c r="J11" s="13" t="s">
        <v>142</v>
      </c>
      <c r="K11" s="13" t="s">
        <v>143</v>
      </c>
      <c r="L11" s="13" t="s">
        <v>111</v>
      </c>
      <c r="M11" s="13" t="s">
        <v>192</v>
      </c>
      <c r="N11" s="20" t="str">
        <f>HYPERLINK("http://slimages.macys.com/is/image/MCY/1734351 ")</f>
        <v xml:space="preserve">http://slimages.macys.com/is/image/MCY/1734351 </v>
      </c>
    </row>
    <row r="12" spans="1:14" x14ac:dyDescent="0.25">
      <c r="A12" s="19" t="s">
        <v>2834</v>
      </c>
      <c r="B12" s="13" t="s">
        <v>2835</v>
      </c>
      <c r="C12" s="8">
        <v>3</v>
      </c>
      <c r="D12" s="9">
        <v>48.3</v>
      </c>
      <c r="E12" s="9">
        <v>144.9</v>
      </c>
      <c r="F12" s="8" t="s">
        <v>552</v>
      </c>
      <c r="G12" s="13" t="s">
        <v>83</v>
      </c>
      <c r="H12" s="19" t="s">
        <v>32</v>
      </c>
      <c r="I12" s="13" t="s">
        <v>11</v>
      </c>
      <c r="J12" s="13" t="s">
        <v>539</v>
      </c>
      <c r="K12" s="13" t="s">
        <v>551</v>
      </c>
      <c r="L12" s="13"/>
      <c r="M12" s="13"/>
      <c r="N12" s="20" t="str">
        <f>HYPERLINK("http://slimages.macys.com/is/image/MCY/19781798 ")</f>
        <v xml:space="preserve">http://slimages.macys.com/is/image/MCY/19781798 </v>
      </c>
    </row>
    <row r="13" spans="1:14" x14ac:dyDescent="0.25">
      <c r="A13" s="19" t="s">
        <v>1579</v>
      </c>
      <c r="B13" s="13" t="s">
        <v>1580</v>
      </c>
      <c r="C13" s="8">
        <v>18</v>
      </c>
      <c r="D13" s="9">
        <v>48.3</v>
      </c>
      <c r="E13" s="9">
        <v>869.4</v>
      </c>
      <c r="F13" s="8" t="s">
        <v>552</v>
      </c>
      <c r="G13" s="13" t="s">
        <v>83</v>
      </c>
      <c r="H13" s="19" t="s">
        <v>227</v>
      </c>
      <c r="I13" s="13" t="s">
        <v>11</v>
      </c>
      <c r="J13" s="13" t="s">
        <v>539</v>
      </c>
      <c r="K13" s="13" t="s">
        <v>551</v>
      </c>
      <c r="L13" s="13"/>
      <c r="M13" s="13"/>
      <c r="N13" s="20" t="str">
        <f>HYPERLINK("http://slimages.macys.com/is/image/MCY/19781798 ")</f>
        <v xml:space="preserve">http://slimages.macys.com/is/image/MCY/19781798 </v>
      </c>
    </row>
    <row r="14" spans="1:14" x14ac:dyDescent="0.25">
      <c r="A14" s="19" t="s">
        <v>1502</v>
      </c>
      <c r="B14" s="13" t="s">
        <v>1503</v>
      </c>
      <c r="C14" s="8">
        <v>6</v>
      </c>
      <c r="D14" s="9">
        <v>34</v>
      </c>
      <c r="E14" s="9">
        <v>204</v>
      </c>
      <c r="F14" s="8">
        <v>900633</v>
      </c>
      <c r="G14" s="13" t="s">
        <v>31</v>
      </c>
      <c r="H14" s="19" t="s">
        <v>40</v>
      </c>
      <c r="I14" s="13" t="s">
        <v>11</v>
      </c>
      <c r="J14" s="13" t="s">
        <v>343</v>
      </c>
      <c r="K14" s="13" t="s">
        <v>354</v>
      </c>
      <c r="L14" s="13"/>
      <c r="M14" s="13"/>
      <c r="N14" s="20" t="str">
        <f>HYPERLINK("http://slimages.macys.com/is/image/MCY/19539433 ")</f>
        <v xml:space="preserve">http://slimages.macys.com/is/image/MCY/19539433 </v>
      </c>
    </row>
    <row r="15" spans="1:14" x14ac:dyDescent="0.25">
      <c r="A15" s="19" t="s">
        <v>1506</v>
      </c>
      <c r="B15" s="13" t="s">
        <v>1507</v>
      </c>
      <c r="C15" s="8">
        <v>9</v>
      </c>
      <c r="D15" s="9">
        <v>34</v>
      </c>
      <c r="E15" s="9">
        <v>306</v>
      </c>
      <c r="F15" s="8">
        <v>900633</v>
      </c>
      <c r="G15" s="13" t="s">
        <v>488</v>
      </c>
      <c r="H15" s="19" t="s">
        <v>27</v>
      </c>
      <c r="I15" s="13" t="s">
        <v>11</v>
      </c>
      <c r="J15" s="13" t="s">
        <v>343</v>
      </c>
      <c r="K15" s="13" t="s">
        <v>354</v>
      </c>
      <c r="L15" s="13"/>
      <c r="M15" s="13"/>
      <c r="N15" s="20" t="str">
        <f>HYPERLINK("http://slimages.macys.com/is/image/MCY/19539433 ")</f>
        <v xml:space="preserve">http://slimages.macys.com/is/image/MCY/19539433 </v>
      </c>
    </row>
    <row r="16" spans="1:14" x14ac:dyDescent="0.25">
      <c r="A16" s="19" t="s">
        <v>2795</v>
      </c>
      <c r="B16" s="13" t="s">
        <v>2796</v>
      </c>
      <c r="C16" s="8">
        <v>1</v>
      </c>
      <c r="D16" s="9">
        <v>58</v>
      </c>
      <c r="E16" s="9">
        <v>58</v>
      </c>
      <c r="F16" s="8">
        <v>900634</v>
      </c>
      <c r="G16" s="13" t="s">
        <v>31</v>
      </c>
      <c r="H16" s="19" t="s">
        <v>55</v>
      </c>
      <c r="I16" s="13" t="s">
        <v>11</v>
      </c>
      <c r="J16" s="13" t="s">
        <v>343</v>
      </c>
      <c r="K16" s="13" t="s">
        <v>354</v>
      </c>
      <c r="L16" s="13"/>
      <c r="M16" s="13"/>
      <c r="N16" s="20" t="str">
        <f>HYPERLINK("http://slimages.macys.com/is/image/MCY/19539454 ")</f>
        <v xml:space="preserve">http://slimages.macys.com/is/image/MCY/19539454 </v>
      </c>
    </row>
    <row r="17" spans="1:14" x14ac:dyDescent="0.25">
      <c r="A17" s="19" t="s">
        <v>1689</v>
      </c>
      <c r="B17" s="13" t="s">
        <v>2794</v>
      </c>
      <c r="C17" s="8">
        <v>4</v>
      </c>
      <c r="D17" s="9">
        <v>58</v>
      </c>
      <c r="E17" s="9">
        <v>232</v>
      </c>
      <c r="F17" s="8">
        <v>900647</v>
      </c>
      <c r="G17" s="13" t="s">
        <v>31</v>
      </c>
      <c r="H17" s="19" t="s">
        <v>40</v>
      </c>
      <c r="I17" s="13" t="s">
        <v>11</v>
      </c>
      <c r="J17" s="13" t="s">
        <v>343</v>
      </c>
      <c r="K17" s="13" t="s">
        <v>354</v>
      </c>
      <c r="L17" s="13"/>
      <c r="M17" s="13"/>
      <c r="N17" s="20" t="str">
        <f>HYPERLINK("http://slimages.macys.com/is/image/MCY/19539364 ")</f>
        <v xml:space="preserve">http://slimages.macys.com/is/image/MCY/19539364 </v>
      </c>
    </row>
    <row r="18" spans="1:14" x14ac:dyDescent="0.25">
      <c r="A18" s="19" t="s">
        <v>2640</v>
      </c>
      <c r="B18" s="13" t="s">
        <v>2641</v>
      </c>
      <c r="C18" s="8">
        <v>16</v>
      </c>
      <c r="D18" s="9">
        <v>58</v>
      </c>
      <c r="E18" s="9">
        <v>928</v>
      </c>
      <c r="F18" s="8">
        <v>900647</v>
      </c>
      <c r="G18" s="13" t="s">
        <v>31</v>
      </c>
      <c r="H18" s="19" t="s">
        <v>55</v>
      </c>
      <c r="I18" s="13" t="s">
        <v>11</v>
      </c>
      <c r="J18" s="13" t="s">
        <v>343</v>
      </c>
      <c r="K18" s="13" t="s">
        <v>354</v>
      </c>
      <c r="L18" s="13"/>
      <c r="M18" s="13"/>
      <c r="N18" s="20" t="str">
        <f>HYPERLINK("http://slimages.macys.com/is/image/MCY/19539364 ")</f>
        <v xml:space="preserve">http://slimages.macys.com/is/image/MCY/19539364 </v>
      </c>
    </row>
    <row r="19" spans="1:14" x14ac:dyDescent="0.25">
      <c r="A19" s="19" t="s">
        <v>2797</v>
      </c>
      <c r="B19" s="13" t="s">
        <v>2798</v>
      </c>
      <c r="C19" s="8">
        <v>14</v>
      </c>
      <c r="D19" s="9">
        <v>58</v>
      </c>
      <c r="E19" s="9">
        <v>812</v>
      </c>
      <c r="F19" s="8">
        <v>900647</v>
      </c>
      <c r="G19" s="13" t="s">
        <v>31</v>
      </c>
      <c r="H19" s="19" t="s">
        <v>27</v>
      </c>
      <c r="I19" s="13" t="s">
        <v>11</v>
      </c>
      <c r="J19" s="13" t="s">
        <v>343</v>
      </c>
      <c r="K19" s="13" t="s">
        <v>354</v>
      </c>
      <c r="L19" s="13"/>
      <c r="M19" s="13"/>
      <c r="N19" s="20" t="str">
        <f>HYPERLINK("http://slimages.macys.com/is/image/MCY/19539364 ")</f>
        <v xml:space="preserve">http://slimages.macys.com/is/image/MCY/19539364 </v>
      </c>
    </row>
    <row r="20" spans="1:14" x14ac:dyDescent="0.25">
      <c r="A20" s="19" t="s">
        <v>2799</v>
      </c>
      <c r="B20" s="13" t="s">
        <v>2800</v>
      </c>
      <c r="C20" s="8">
        <v>10</v>
      </c>
      <c r="D20" s="9">
        <v>58</v>
      </c>
      <c r="E20" s="9">
        <v>580</v>
      </c>
      <c r="F20" s="8">
        <v>900635</v>
      </c>
      <c r="G20" s="13" t="s">
        <v>31</v>
      </c>
      <c r="H20" s="19" t="s">
        <v>55</v>
      </c>
      <c r="I20" s="13" t="s">
        <v>11</v>
      </c>
      <c r="J20" s="13" t="s">
        <v>343</v>
      </c>
      <c r="K20" s="13" t="s">
        <v>354</v>
      </c>
      <c r="L20" s="13"/>
      <c r="M20" s="13"/>
      <c r="N20" s="20" t="str">
        <f>HYPERLINK("http://slimages.macys.com/is/image/MCY/19539395 ")</f>
        <v xml:space="preserve">http://slimages.macys.com/is/image/MCY/19539395 </v>
      </c>
    </row>
    <row r="21" spans="1:14" x14ac:dyDescent="0.25">
      <c r="A21" s="19" t="s">
        <v>2803</v>
      </c>
      <c r="B21" s="13" t="s">
        <v>2804</v>
      </c>
      <c r="C21" s="8">
        <v>1</v>
      </c>
      <c r="D21" s="9">
        <v>38</v>
      </c>
      <c r="E21" s="9">
        <v>38</v>
      </c>
      <c r="F21" s="8">
        <v>900531</v>
      </c>
      <c r="G21" s="13" t="s">
        <v>140</v>
      </c>
      <c r="H21" s="19"/>
      <c r="I21" s="13" t="s">
        <v>11</v>
      </c>
      <c r="J21" s="13" t="s">
        <v>343</v>
      </c>
      <c r="K21" s="13" t="s">
        <v>354</v>
      </c>
      <c r="L21" s="13"/>
      <c r="M21" s="13"/>
      <c r="N21" s="20" t="str">
        <f>HYPERLINK("http://slimages.macys.com/is/image/MCY/18913853 ")</f>
        <v xml:space="preserve">http://slimages.macys.com/is/image/MCY/18913853 </v>
      </c>
    </row>
    <row r="22" spans="1:14" x14ac:dyDescent="0.25">
      <c r="A22" s="19" t="s">
        <v>1626</v>
      </c>
      <c r="B22" s="13" t="s">
        <v>1627</v>
      </c>
      <c r="C22" s="8">
        <v>4</v>
      </c>
      <c r="D22" s="9">
        <v>48</v>
      </c>
      <c r="E22" s="9">
        <v>192</v>
      </c>
      <c r="F22" s="8">
        <v>900585</v>
      </c>
      <c r="G22" s="13" t="s">
        <v>31</v>
      </c>
      <c r="H22" s="19" t="s">
        <v>27</v>
      </c>
      <c r="I22" s="13" t="s">
        <v>11</v>
      </c>
      <c r="J22" s="13" t="s">
        <v>343</v>
      </c>
      <c r="K22" s="13" t="s">
        <v>354</v>
      </c>
      <c r="L22" s="13"/>
      <c r="M22" s="13"/>
      <c r="N22" s="20" t="str">
        <f>HYPERLINK("http://slimages.macys.com/is/image/MCY/18827248 ")</f>
        <v xml:space="preserve">http://slimages.macys.com/is/image/MCY/18827248 </v>
      </c>
    </row>
    <row r="23" spans="1:14" x14ac:dyDescent="0.25">
      <c r="A23" s="19" t="s">
        <v>1255</v>
      </c>
      <c r="B23" s="13" t="s">
        <v>1256</v>
      </c>
      <c r="C23" s="8">
        <v>13</v>
      </c>
      <c r="D23" s="9">
        <v>34</v>
      </c>
      <c r="E23" s="9">
        <v>442</v>
      </c>
      <c r="F23" s="8" t="s">
        <v>365</v>
      </c>
      <c r="G23" s="13" t="s">
        <v>963</v>
      </c>
      <c r="H23" s="19" t="s">
        <v>32</v>
      </c>
      <c r="I23" s="13" t="s">
        <v>11</v>
      </c>
      <c r="J23" s="13" t="s">
        <v>343</v>
      </c>
      <c r="K23" s="13" t="s">
        <v>366</v>
      </c>
      <c r="L23" s="13"/>
      <c r="M23" s="13"/>
      <c r="N23" s="20" t="str">
        <f>HYPERLINK("http://slimages.macys.com/is/image/MCY/19673165 ")</f>
        <v xml:space="preserve">http://slimages.macys.com/is/image/MCY/19673165 </v>
      </c>
    </row>
    <row r="24" spans="1:14" x14ac:dyDescent="0.25">
      <c r="A24" s="19" t="s">
        <v>2827</v>
      </c>
      <c r="B24" s="13" t="s">
        <v>2828</v>
      </c>
      <c r="C24" s="8">
        <v>1</v>
      </c>
      <c r="D24" s="9">
        <v>14.3</v>
      </c>
      <c r="E24" s="9">
        <v>14.3</v>
      </c>
      <c r="F24" s="8" t="s">
        <v>1057</v>
      </c>
      <c r="G24" s="13" t="s">
        <v>82</v>
      </c>
      <c r="H24" s="19" t="s">
        <v>32</v>
      </c>
      <c r="I24" s="13" t="s">
        <v>11</v>
      </c>
      <c r="J24" s="13" t="s">
        <v>343</v>
      </c>
      <c r="K24" s="13" t="s">
        <v>379</v>
      </c>
      <c r="L24" s="13"/>
      <c r="M24" s="13"/>
      <c r="N24" s="20" t="str">
        <f>HYPERLINK("http://slimages.macys.com/is/image/MCY/20121288 ")</f>
        <v xml:space="preserve">http://slimages.macys.com/is/image/MCY/20121288 </v>
      </c>
    </row>
    <row r="25" spans="1:14" x14ac:dyDescent="0.25">
      <c r="A25" s="19" t="s">
        <v>2820</v>
      </c>
      <c r="B25" s="13" t="s">
        <v>2821</v>
      </c>
      <c r="C25" s="8">
        <v>12</v>
      </c>
      <c r="D25" s="9">
        <v>14.3</v>
      </c>
      <c r="E25" s="9">
        <v>171.6</v>
      </c>
      <c r="F25" s="8" t="s">
        <v>1057</v>
      </c>
      <c r="G25" s="13" t="s">
        <v>82</v>
      </c>
      <c r="H25" s="19" t="s">
        <v>40</v>
      </c>
      <c r="I25" s="13" t="s">
        <v>11</v>
      </c>
      <c r="J25" s="13" t="s">
        <v>343</v>
      </c>
      <c r="K25" s="13" t="s">
        <v>379</v>
      </c>
      <c r="L25" s="13"/>
      <c r="M25" s="13"/>
      <c r="N25" s="20" t="str">
        <f>HYPERLINK("http://slimages.macys.com/is/image/MCY/20121288 ")</f>
        <v xml:space="preserve">http://slimages.macys.com/is/image/MCY/20121288 </v>
      </c>
    </row>
    <row r="26" spans="1:14" x14ac:dyDescent="0.25">
      <c r="A26" s="19" t="s">
        <v>2818</v>
      </c>
      <c r="B26" s="13" t="s">
        <v>2819</v>
      </c>
      <c r="C26" s="8">
        <v>15</v>
      </c>
      <c r="D26" s="9">
        <v>14.3</v>
      </c>
      <c r="E26" s="9">
        <v>214.5</v>
      </c>
      <c r="F26" s="8" t="s">
        <v>1645</v>
      </c>
      <c r="G26" s="13" t="s">
        <v>78</v>
      </c>
      <c r="H26" s="19" t="s">
        <v>32</v>
      </c>
      <c r="I26" s="13" t="s">
        <v>11</v>
      </c>
      <c r="J26" s="13" t="s">
        <v>343</v>
      </c>
      <c r="K26" s="13" t="s">
        <v>379</v>
      </c>
      <c r="L26" s="13"/>
      <c r="M26" s="13"/>
      <c r="N26" s="20" t="str">
        <f>HYPERLINK("http://slimages.macys.com/is/image/MCY/20120359 ")</f>
        <v xml:space="preserve">http://slimages.macys.com/is/image/MCY/20120359 </v>
      </c>
    </row>
    <row r="27" spans="1:14" x14ac:dyDescent="0.25">
      <c r="A27" s="19" t="s">
        <v>1643</v>
      </c>
      <c r="B27" s="13" t="s">
        <v>1644</v>
      </c>
      <c r="C27" s="8">
        <v>9</v>
      </c>
      <c r="D27" s="9">
        <v>14.3</v>
      </c>
      <c r="E27" s="9">
        <v>128.69999999999999</v>
      </c>
      <c r="F27" s="8" t="s">
        <v>1645</v>
      </c>
      <c r="G27" s="13" t="s">
        <v>140</v>
      </c>
      <c r="H27" s="19" t="s">
        <v>32</v>
      </c>
      <c r="I27" s="13" t="s">
        <v>11</v>
      </c>
      <c r="J27" s="13" t="s">
        <v>343</v>
      </c>
      <c r="K27" s="13" t="s">
        <v>379</v>
      </c>
      <c r="L27" s="13"/>
      <c r="M27" s="13"/>
      <c r="N27" s="20" t="str">
        <f>HYPERLINK("http://slimages.macys.com/is/image/MCY/20120359 ")</f>
        <v xml:space="preserve">http://slimages.macys.com/is/image/MCY/20120359 </v>
      </c>
    </row>
    <row r="28" spans="1:14" x14ac:dyDescent="0.25">
      <c r="A28" s="19" t="s">
        <v>1646</v>
      </c>
      <c r="B28" s="13" t="s">
        <v>1647</v>
      </c>
      <c r="C28" s="8">
        <v>22</v>
      </c>
      <c r="D28" s="9">
        <v>14.3</v>
      </c>
      <c r="E28" s="9">
        <v>314.60000000000002</v>
      </c>
      <c r="F28" s="8" t="s">
        <v>1645</v>
      </c>
      <c r="G28" s="13" t="s">
        <v>140</v>
      </c>
      <c r="H28" s="19" t="s">
        <v>40</v>
      </c>
      <c r="I28" s="13" t="s">
        <v>11</v>
      </c>
      <c r="J28" s="13" t="s">
        <v>343</v>
      </c>
      <c r="K28" s="13" t="s">
        <v>379</v>
      </c>
      <c r="L28" s="13"/>
      <c r="M28" s="13"/>
      <c r="N28" s="20" t="str">
        <f>HYPERLINK("http://slimages.macys.com/is/image/MCY/20120359 ")</f>
        <v xml:space="preserve">http://slimages.macys.com/is/image/MCY/20120359 </v>
      </c>
    </row>
    <row r="29" spans="1:14" x14ac:dyDescent="0.25">
      <c r="A29" s="19" t="s">
        <v>2823</v>
      </c>
      <c r="B29" s="13" t="s">
        <v>2824</v>
      </c>
      <c r="C29" s="8">
        <v>24</v>
      </c>
      <c r="D29" s="9">
        <v>14.3</v>
      </c>
      <c r="E29" s="9">
        <v>343.2</v>
      </c>
      <c r="F29" s="8" t="s">
        <v>1645</v>
      </c>
      <c r="G29" s="13" t="s">
        <v>140</v>
      </c>
      <c r="H29" s="19" t="s">
        <v>55</v>
      </c>
      <c r="I29" s="13" t="s">
        <v>11</v>
      </c>
      <c r="J29" s="13" t="s">
        <v>343</v>
      </c>
      <c r="K29" s="13" t="s">
        <v>379</v>
      </c>
      <c r="L29" s="13"/>
      <c r="M29" s="13"/>
      <c r="N29" s="20" t="str">
        <f>HYPERLINK("http://slimages.macys.com/is/image/MCY/20120359 ")</f>
        <v xml:space="preserve">http://slimages.macys.com/is/image/MCY/20120359 </v>
      </c>
    </row>
    <row r="30" spans="1:14" x14ac:dyDescent="0.25">
      <c r="A30" s="19" t="s">
        <v>2779</v>
      </c>
      <c r="B30" s="13" t="s">
        <v>2780</v>
      </c>
      <c r="C30" s="8">
        <v>10</v>
      </c>
      <c r="D30" s="9">
        <v>14.3</v>
      </c>
      <c r="E30" s="9">
        <v>143</v>
      </c>
      <c r="F30" s="8" t="s">
        <v>1340</v>
      </c>
      <c r="G30" s="13" t="s">
        <v>378</v>
      </c>
      <c r="H30" s="19" t="s">
        <v>32</v>
      </c>
      <c r="I30" s="13" t="s">
        <v>11</v>
      </c>
      <c r="J30" s="13" t="s">
        <v>343</v>
      </c>
      <c r="K30" s="13" t="s">
        <v>379</v>
      </c>
      <c r="L30" s="13"/>
      <c r="M30" s="13"/>
      <c r="N30" s="20" t="str">
        <f>HYPERLINK("http://slimages.macys.com/is/image/MCY/20120079 ")</f>
        <v xml:space="preserve">http://slimages.macys.com/is/image/MCY/20120079 </v>
      </c>
    </row>
    <row r="31" spans="1:14" x14ac:dyDescent="0.25">
      <c r="A31" s="19" t="s">
        <v>1566</v>
      </c>
      <c r="B31" s="13" t="s">
        <v>1567</v>
      </c>
      <c r="C31" s="8">
        <v>25</v>
      </c>
      <c r="D31" s="9">
        <v>14.3</v>
      </c>
      <c r="E31" s="9">
        <v>357.5</v>
      </c>
      <c r="F31" s="8" t="s">
        <v>1340</v>
      </c>
      <c r="G31" s="13" t="s">
        <v>378</v>
      </c>
      <c r="H31" s="19" t="s">
        <v>40</v>
      </c>
      <c r="I31" s="13" t="s">
        <v>11</v>
      </c>
      <c r="J31" s="13" t="s">
        <v>343</v>
      </c>
      <c r="K31" s="13" t="s">
        <v>379</v>
      </c>
      <c r="L31" s="13"/>
      <c r="M31" s="13"/>
      <c r="N31" s="20" t="str">
        <f>HYPERLINK("http://slimages.macys.com/is/image/MCY/20120079 ")</f>
        <v xml:space="preserve">http://slimages.macys.com/is/image/MCY/20120079 </v>
      </c>
    </row>
    <row r="32" spans="1:14" x14ac:dyDescent="0.25">
      <c r="A32" s="19" t="s">
        <v>2825</v>
      </c>
      <c r="B32" s="13" t="s">
        <v>2826</v>
      </c>
      <c r="C32" s="8">
        <v>23</v>
      </c>
      <c r="D32" s="9">
        <v>14.3</v>
      </c>
      <c r="E32" s="9">
        <v>328.9</v>
      </c>
      <c r="F32" s="8" t="s">
        <v>1340</v>
      </c>
      <c r="G32" s="13" t="s">
        <v>378</v>
      </c>
      <c r="H32" s="19" t="s">
        <v>27</v>
      </c>
      <c r="I32" s="13" t="s">
        <v>11</v>
      </c>
      <c r="J32" s="13" t="s">
        <v>343</v>
      </c>
      <c r="K32" s="13" t="s">
        <v>379</v>
      </c>
      <c r="L32" s="13"/>
      <c r="M32" s="13"/>
      <c r="N32" s="20" t="str">
        <f>HYPERLINK("http://slimages.macys.com/is/image/MCY/20120079 ")</f>
        <v xml:space="preserve">http://slimages.macys.com/is/image/MCY/20120079 </v>
      </c>
    </row>
    <row r="33" spans="1:14" x14ac:dyDescent="0.25">
      <c r="A33" s="19" t="s">
        <v>2829</v>
      </c>
      <c r="B33" s="13" t="s">
        <v>2830</v>
      </c>
      <c r="C33" s="8">
        <v>7</v>
      </c>
      <c r="D33" s="9">
        <v>14.3</v>
      </c>
      <c r="E33" s="9">
        <v>100.1</v>
      </c>
      <c r="F33" s="8" t="s">
        <v>1340</v>
      </c>
      <c r="G33" s="13" t="s">
        <v>102</v>
      </c>
      <c r="H33" s="19" t="s">
        <v>32</v>
      </c>
      <c r="I33" s="13" t="s">
        <v>11</v>
      </c>
      <c r="J33" s="13" t="s">
        <v>343</v>
      </c>
      <c r="K33" s="13" t="s">
        <v>379</v>
      </c>
      <c r="L33" s="13"/>
      <c r="M33" s="13"/>
      <c r="N33" s="20" t="str">
        <f>HYPERLINK("http://slimages.macys.com/is/image/MCY/20120079 ")</f>
        <v xml:space="preserve">http://slimages.macys.com/is/image/MCY/20120079 </v>
      </c>
    </row>
    <row r="34" spans="1:14" x14ac:dyDescent="0.25">
      <c r="A34" s="19" t="s">
        <v>1558</v>
      </c>
      <c r="B34" s="13" t="s">
        <v>1559</v>
      </c>
      <c r="C34" s="8">
        <v>8</v>
      </c>
      <c r="D34" s="9">
        <v>14.3</v>
      </c>
      <c r="E34" s="9">
        <v>114.4</v>
      </c>
      <c r="F34" s="8" t="s">
        <v>778</v>
      </c>
      <c r="G34" s="13" t="s">
        <v>488</v>
      </c>
      <c r="H34" s="19" t="s">
        <v>40</v>
      </c>
      <c r="I34" s="13" t="s">
        <v>11</v>
      </c>
      <c r="J34" s="13" t="s">
        <v>343</v>
      </c>
      <c r="K34" s="13" t="s">
        <v>379</v>
      </c>
      <c r="L34" s="13"/>
      <c r="M34" s="13"/>
      <c r="N34" s="20" t="str">
        <f>HYPERLINK("http://slimages.macys.com/is/image/MCY/20121070 ")</f>
        <v xml:space="preserve">http://slimages.macys.com/is/image/MCY/20121070 </v>
      </c>
    </row>
    <row r="35" spans="1:14" x14ac:dyDescent="0.25">
      <c r="A35" s="19" t="s">
        <v>1049</v>
      </c>
      <c r="B35" s="13" t="s">
        <v>1050</v>
      </c>
      <c r="C35" s="8">
        <v>66</v>
      </c>
      <c r="D35" s="9">
        <v>14.3</v>
      </c>
      <c r="E35" s="9">
        <v>943.8</v>
      </c>
      <c r="F35" s="8" t="s">
        <v>1051</v>
      </c>
      <c r="G35" s="13" t="s">
        <v>31</v>
      </c>
      <c r="H35" s="19" t="s">
        <v>32</v>
      </c>
      <c r="I35" s="13" t="s">
        <v>11</v>
      </c>
      <c r="J35" s="13" t="s">
        <v>343</v>
      </c>
      <c r="K35" s="13" t="s">
        <v>379</v>
      </c>
      <c r="L35" s="13"/>
      <c r="M35" s="13"/>
      <c r="N35" s="20" t="str">
        <f t="shared" ref="N35:N46" si="0">HYPERLINK("http://slimages.macys.com/is/image/MCY/20120785 ")</f>
        <v xml:space="preserve">http://slimages.macys.com/is/image/MCY/20120785 </v>
      </c>
    </row>
    <row r="36" spans="1:14" x14ac:dyDescent="0.25">
      <c r="A36" s="19" t="s">
        <v>1337</v>
      </c>
      <c r="B36" s="13" t="s">
        <v>1055</v>
      </c>
      <c r="C36" s="8">
        <v>14</v>
      </c>
      <c r="D36" s="9">
        <v>14.3</v>
      </c>
      <c r="E36" s="9">
        <v>200.2</v>
      </c>
      <c r="F36" s="8" t="s">
        <v>1051</v>
      </c>
      <c r="G36" s="13" t="s">
        <v>31</v>
      </c>
      <c r="H36" s="19" t="s">
        <v>40</v>
      </c>
      <c r="I36" s="13" t="s">
        <v>11</v>
      </c>
      <c r="J36" s="13" t="s">
        <v>343</v>
      </c>
      <c r="K36" s="13" t="s">
        <v>379</v>
      </c>
      <c r="L36" s="13"/>
      <c r="M36" s="13"/>
      <c r="N36" s="20" t="str">
        <f t="shared" si="0"/>
        <v xml:space="preserve">http://slimages.macys.com/is/image/MCY/20120785 </v>
      </c>
    </row>
    <row r="37" spans="1:14" x14ac:dyDescent="0.25">
      <c r="A37" s="19" t="s">
        <v>1054</v>
      </c>
      <c r="B37" s="13" t="s">
        <v>1055</v>
      </c>
      <c r="C37" s="8">
        <v>28</v>
      </c>
      <c r="D37" s="9">
        <v>14.3</v>
      </c>
      <c r="E37" s="9">
        <v>400.4</v>
      </c>
      <c r="F37" s="8" t="s">
        <v>1056</v>
      </c>
      <c r="G37" s="13" t="s">
        <v>31</v>
      </c>
      <c r="H37" s="19" t="s">
        <v>40</v>
      </c>
      <c r="I37" s="13" t="s">
        <v>11</v>
      </c>
      <c r="J37" s="13" t="s">
        <v>343</v>
      </c>
      <c r="K37" s="13" t="s">
        <v>379</v>
      </c>
      <c r="L37" s="13"/>
      <c r="M37" s="13"/>
      <c r="N37" s="20" t="str">
        <f t="shared" si="0"/>
        <v xml:space="preserve">http://slimages.macys.com/is/image/MCY/20120785 </v>
      </c>
    </row>
    <row r="38" spans="1:14" x14ac:dyDescent="0.25">
      <c r="A38" s="19" t="s">
        <v>1562</v>
      </c>
      <c r="B38" s="13" t="s">
        <v>1563</v>
      </c>
      <c r="C38" s="8">
        <v>8</v>
      </c>
      <c r="D38" s="9">
        <v>14.3</v>
      </c>
      <c r="E38" s="9">
        <v>114.4</v>
      </c>
      <c r="F38" s="8" t="s">
        <v>1051</v>
      </c>
      <c r="G38" s="13" t="s">
        <v>31</v>
      </c>
      <c r="H38" s="19" t="s">
        <v>55</v>
      </c>
      <c r="I38" s="13" t="s">
        <v>11</v>
      </c>
      <c r="J38" s="13" t="s">
        <v>343</v>
      </c>
      <c r="K38" s="13" t="s">
        <v>379</v>
      </c>
      <c r="L38" s="13"/>
      <c r="M38" s="13"/>
      <c r="N38" s="20" t="str">
        <f t="shared" si="0"/>
        <v xml:space="preserve">http://slimages.macys.com/is/image/MCY/20120785 </v>
      </c>
    </row>
    <row r="39" spans="1:14" x14ac:dyDescent="0.25">
      <c r="A39" s="19" t="s">
        <v>2651</v>
      </c>
      <c r="B39" s="13" t="s">
        <v>2652</v>
      </c>
      <c r="C39" s="8">
        <v>20</v>
      </c>
      <c r="D39" s="9">
        <v>14.3</v>
      </c>
      <c r="E39" s="9">
        <v>286</v>
      </c>
      <c r="F39" s="8" t="s">
        <v>1051</v>
      </c>
      <c r="G39" s="13" t="s">
        <v>31</v>
      </c>
      <c r="H39" s="19" t="s">
        <v>27</v>
      </c>
      <c r="I39" s="13" t="s">
        <v>11</v>
      </c>
      <c r="J39" s="13" t="s">
        <v>343</v>
      </c>
      <c r="K39" s="13" t="s">
        <v>379</v>
      </c>
      <c r="L39" s="13"/>
      <c r="M39" s="13"/>
      <c r="N39" s="20" t="str">
        <f t="shared" si="0"/>
        <v xml:space="preserve">http://slimages.macys.com/is/image/MCY/20120785 </v>
      </c>
    </row>
    <row r="40" spans="1:14" x14ac:dyDescent="0.25">
      <c r="A40" s="19" t="s">
        <v>1341</v>
      </c>
      <c r="B40" s="13" t="s">
        <v>1342</v>
      </c>
      <c r="C40" s="8">
        <v>19</v>
      </c>
      <c r="D40" s="9">
        <v>14.3</v>
      </c>
      <c r="E40" s="9">
        <v>271.7</v>
      </c>
      <c r="F40" s="8" t="s">
        <v>1051</v>
      </c>
      <c r="G40" s="13" t="s">
        <v>124</v>
      </c>
      <c r="H40" s="19" t="s">
        <v>55</v>
      </c>
      <c r="I40" s="13" t="s">
        <v>11</v>
      </c>
      <c r="J40" s="13" t="s">
        <v>343</v>
      </c>
      <c r="K40" s="13" t="s">
        <v>379</v>
      </c>
      <c r="L40" s="13"/>
      <c r="M40" s="13"/>
      <c r="N40" s="20" t="str">
        <f t="shared" si="0"/>
        <v xml:space="preserve">http://slimages.macys.com/is/image/MCY/20120785 </v>
      </c>
    </row>
    <row r="41" spans="1:14" x14ac:dyDescent="0.25">
      <c r="A41" s="19" t="s">
        <v>1554</v>
      </c>
      <c r="B41" s="13" t="s">
        <v>1555</v>
      </c>
      <c r="C41" s="8">
        <v>8</v>
      </c>
      <c r="D41" s="9">
        <v>14.3</v>
      </c>
      <c r="E41" s="9">
        <v>114.4</v>
      </c>
      <c r="F41" s="8" t="s">
        <v>1051</v>
      </c>
      <c r="G41" s="13" t="s">
        <v>44</v>
      </c>
      <c r="H41" s="19" t="s">
        <v>40</v>
      </c>
      <c r="I41" s="13" t="s">
        <v>11</v>
      </c>
      <c r="J41" s="13" t="s">
        <v>343</v>
      </c>
      <c r="K41" s="13" t="s">
        <v>379</v>
      </c>
      <c r="L41" s="13"/>
      <c r="M41" s="13"/>
      <c r="N41" s="20" t="str">
        <f t="shared" si="0"/>
        <v xml:space="preserve">http://slimages.macys.com/is/image/MCY/20120785 </v>
      </c>
    </row>
    <row r="42" spans="1:14" x14ac:dyDescent="0.25">
      <c r="A42" s="19" t="s">
        <v>1705</v>
      </c>
      <c r="B42" s="13" t="s">
        <v>2822</v>
      </c>
      <c r="C42" s="8">
        <v>22</v>
      </c>
      <c r="D42" s="9">
        <v>14.3</v>
      </c>
      <c r="E42" s="9">
        <v>314.60000000000002</v>
      </c>
      <c r="F42" s="8" t="s">
        <v>1051</v>
      </c>
      <c r="G42" s="13" t="s">
        <v>44</v>
      </c>
      <c r="H42" s="19" t="s">
        <v>55</v>
      </c>
      <c r="I42" s="13" t="s">
        <v>11</v>
      </c>
      <c r="J42" s="13" t="s">
        <v>343</v>
      </c>
      <c r="K42" s="13" t="s">
        <v>379</v>
      </c>
      <c r="L42" s="13"/>
      <c r="M42" s="13"/>
      <c r="N42" s="20" t="str">
        <f t="shared" si="0"/>
        <v xml:space="preserve">http://slimages.macys.com/is/image/MCY/20120785 </v>
      </c>
    </row>
    <row r="43" spans="1:14" x14ac:dyDescent="0.25">
      <c r="A43" s="19" t="s">
        <v>1345</v>
      </c>
      <c r="B43" s="13" t="s">
        <v>1346</v>
      </c>
      <c r="C43" s="8">
        <v>2</v>
      </c>
      <c r="D43" s="9">
        <v>14.3</v>
      </c>
      <c r="E43" s="9">
        <v>28.6</v>
      </c>
      <c r="F43" s="8" t="s">
        <v>1056</v>
      </c>
      <c r="G43" s="13" t="s">
        <v>31</v>
      </c>
      <c r="H43" s="19" t="s">
        <v>32</v>
      </c>
      <c r="I43" s="13" t="s">
        <v>11</v>
      </c>
      <c r="J43" s="13" t="s">
        <v>343</v>
      </c>
      <c r="K43" s="13" t="s">
        <v>379</v>
      </c>
      <c r="L43" s="13"/>
      <c r="M43" s="13"/>
      <c r="N43" s="20" t="str">
        <f t="shared" si="0"/>
        <v xml:space="preserve">http://slimages.macys.com/is/image/MCY/20120785 </v>
      </c>
    </row>
    <row r="44" spans="1:14" x14ac:dyDescent="0.25">
      <c r="A44" s="19" t="s">
        <v>1052</v>
      </c>
      <c r="B44" s="13" t="s">
        <v>1053</v>
      </c>
      <c r="C44" s="8">
        <v>19</v>
      </c>
      <c r="D44" s="9">
        <v>14.3</v>
      </c>
      <c r="E44" s="9">
        <v>271.7</v>
      </c>
      <c r="F44" s="8" t="s">
        <v>1051</v>
      </c>
      <c r="G44" s="13" t="s">
        <v>62</v>
      </c>
      <c r="H44" s="19" t="s">
        <v>32</v>
      </c>
      <c r="I44" s="13" t="s">
        <v>11</v>
      </c>
      <c r="J44" s="13" t="s">
        <v>343</v>
      </c>
      <c r="K44" s="13" t="s">
        <v>379</v>
      </c>
      <c r="L44" s="13"/>
      <c r="M44" s="13"/>
      <c r="N44" s="20" t="str">
        <f t="shared" si="0"/>
        <v xml:space="preserve">http://slimages.macys.com/is/image/MCY/20120785 </v>
      </c>
    </row>
    <row r="45" spans="1:14" x14ac:dyDescent="0.25">
      <c r="A45" s="19" t="s">
        <v>1552</v>
      </c>
      <c r="B45" s="13" t="s">
        <v>1553</v>
      </c>
      <c r="C45" s="8">
        <v>27</v>
      </c>
      <c r="D45" s="9">
        <v>14.3</v>
      </c>
      <c r="E45" s="9">
        <v>386.1</v>
      </c>
      <c r="F45" s="8" t="s">
        <v>1051</v>
      </c>
      <c r="G45" s="13" t="s">
        <v>62</v>
      </c>
      <c r="H45" s="19" t="s">
        <v>55</v>
      </c>
      <c r="I45" s="13" t="s">
        <v>11</v>
      </c>
      <c r="J45" s="13" t="s">
        <v>343</v>
      </c>
      <c r="K45" s="13" t="s">
        <v>379</v>
      </c>
      <c r="L45" s="13"/>
      <c r="M45" s="13"/>
      <c r="N45" s="20" t="str">
        <f t="shared" si="0"/>
        <v xml:space="preserve">http://slimages.macys.com/is/image/MCY/20120785 </v>
      </c>
    </row>
    <row r="46" spans="1:14" x14ac:dyDescent="0.25">
      <c r="A46" s="19" t="s">
        <v>2649</v>
      </c>
      <c r="B46" s="13" t="s">
        <v>2650</v>
      </c>
      <c r="C46" s="8">
        <v>34</v>
      </c>
      <c r="D46" s="9">
        <v>14.3</v>
      </c>
      <c r="E46" s="9">
        <v>486.2</v>
      </c>
      <c r="F46" s="8" t="s">
        <v>1051</v>
      </c>
      <c r="G46" s="13" t="s">
        <v>62</v>
      </c>
      <c r="H46" s="19" t="s">
        <v>27</v>
      </c>
      <c r="I46" s="13" t="s">
        <v>11</v>
      </c>
      <c r="J46" s="13" t="s">
        <v>343</v>
      </c>
      <c r="K46" s="13" t="s">
        <v>379</v>
      </c>
      <c r="L46" s="13"/>
      <c r="M46" s="13"/>
      <c r="N46" s="20" t="str">
        <f t="shared" si="0"/>
        <v xml:space="preserve">http://slimages.macys.com/is/image/MCY/20120785 </v>
      </c>
    </row>
    <row r="47" spans="1:14" x14ac:dyDescent="0.25">
      <c r="A47" s="19" t="s">
        <v>2385</v>
      </c>
      <c r="B47" s="13" t="s">
        <v>2386</v>
      </c>
      <c r="C47" s="8">
        <v>20</v>
      </c>
      <c r="D47" s="9">
        <v>32.99</v>
      </c>
      <c r="E47" s="9">
        <v>659.8</v>
      </c>
      <c r="F47" s="8" t="s">
        <v>1448</v>
      </c>
      <c r="G47" s="13" t="s">
        <v>174</v>
      </c>
      <c r="H47" s="19" t="s">
        <v>40</v>
      </c>
      <c r="I47" s="13" t="s">
        <v>11</v>
      </c>
      <c r="J47" s="13" t="s">
        <v>266</v>
      </c>
      <c r="K47" s="13" t="s">
        <v>267</v>
      </c>
      <c r="L47" s="13"/>
      <c r="M47" s="13"/>
      <c r="N47" s="20" t="str">
        <f>HYPERLINK("http://slimages.macys.com/is/image/MCY/19287187 ")</f>
        <v xml:space="preserve">http://slimages.macys.com/is/image/MCY/19287187 </v>
      </c>
    </row>
    <row r="48" spans="1:14" x14ac:dyDescent="0.25">
      <c r="A48" s="19" t="s">
        <v>1446</v>
      </c>
      <c r="B48" s="13" t="s">
        <v>1447</v>
      </c>
      <c r="C48" s="8">
        <v>20</v>
      </c>
      <c r="D48" s="9">
        <v>32.99</v>
      </c>
      <c r="E48" s="9">
        <v>659.8</v>
      </c>
      <c r="F48" s="8" t="s">
        <v>1448</v>
      </c>
      <c r="G48" s="13" t="s">
        <v>174</v>
      </c>
      <c r="H48" s="19" t="s">
        <v>55</v>
      </c>
      <c r="I48" s="13" t="s">
        <v>11</v>
      </c>
      <c r="J48" s="13" t="s">
        <v>266</v>
      </c>
      <c r="K48" s="13" t="s">
        <v>267</v>
      </c>
      <c r="L48" s="13"/>
      <c r="M48" s="13"/>
      <c r="N48" s="20" t="str">
        <f>HYPERLINK("http://slimages.macys.com/is/image/MCY/19287187 ")</f>
        <v xml:space="preserve">http://slimages.macys.com/is/image/MCY/19287187 </v>
      </c>
    </row>
    <row r="49" spans="1:14" x14ac:dyDescent="0.25">
      <c r="A49" s="19" t="s">
        <v>2767</v>
      </c>
      <c r="B49" s="13" t="s">
        <v>2768</v>
      </c>
      <c r="C49" s="8">
        <v>12</v>
      </c>
      <c r="D49" s="9">
        <v>32.99</v>
      </c>
      <c r="E49" s="9">
        <v>395.88</v>
      </c>
      <c r="F49" s="8" t="s">
        <v>1448</v>
      </c>
      <c r="G49" s="13" t="s">
        <v>174</v>
      </c>
      <c r="H49" s="19" t="s">
        <v>47</v>
      </c>
      <c r="I49" s="13" t="s">
        <v>11</v>
      </c>
      <c r="J49" s="13" t="s">
        <v>266</v>
      </c>
      <c r="K49" s="13" t="s">
        <v>267</v>
      </c>
      <c r="L49" s="13"/>
      <c r="M49" s="13"/>
      <c r="N49" s="20" t="str">
        <f>HYPERLINK("http://slimages.macys.com/is/image/MCY/19287187 ")</f>
        <v xml:space="preserve">http://slimages.macys.com/is/image/MCY/19287187 </v>
      </c>
    </row>
    <row r="50" spans="1:14" x14ac:dyDescent="0.25">
      <c r="A50" s="19" t="s">
        <v>1680</v>
      </c>
      <c r="B50" s="13" t="s">
        <v>2367</v>
      </c>
      <c r="C50" s="8">
        <v>6</v>
      </c>
      <c r="D50" s="9">
        <v>37.99</v>
      </c>
      <c r="E50" s="9">
        <v>227.94</v>
      </c>
      <c r="F50" s="8" t="s">
        <v>1000</v>
      </c>
      <c r="G50" s="13" t="s">
        <v>104</v>
      </c>
      <c r="H50" s="19" t="s">
        <v>40</v>
      </c>
      <c r="I50" s="13" t="s">
        <v>11</v>
      </c>
      <c r="J50" s="13" t="s">
        <v>266</v>
      </c>
      <c r="K50" s="13" t="s">
        <v>267</v>
      </c>
      <c r="L50" s="13"/>
      <c r="M50" s="13"/>
      <c r="N50" s="20" t="str">
        <f>HYPERLINK("http://slimages.macys.com/is/image/MCY/19714752 ")</f>
        <v xml:space="preserve">http://slimages.macys.com/is/image/MCY/19714752 </v>
      </c>
    </row>
    <row r="51" spans="1:14" x14ac:dyDescent="0.25">
      <c r="A51" s="19" t="s">
        <v>2371</v>
      </c>
      <c r="B51" s="13" t="s">
        <v>2372</v>
      </c>
      <c r="C51" s="8">
        <v>1</v>
      </c>
      <c r="D51" s="9">
        <v>37.99</v>
      </c>
      <c r="E51" s="9">
        <v>37.99</v>
      </c>
      <c r="F51" s="8" t="s">
        <v>1599</v>
      </c>
      <c r="G51" s="13" t="s">
        <v>270</v>
      </c>
      <c r="H51" s="19" t="s">
        <v>32</v>
      </c>
      <c r="I51" s="13" t="s">
        <v>11</v>
      </c>
      <c r="J51" s="13" t="s">
        <v>266</v>
      </c>
      <c r="K51" s="13" t="s">
        <v>267</v>
      </c>
      <c r="L51" s="13"/>
      <c r="M51" s="13"/>
      <c r="N51" s="20" t="str">
        <f>HYPERLINK("http://slimages.macys.com/is/image/MCY/21080160 ")</f>
        <v xml:space="preserve">http://slimages.macys.com/is/image/MCY/21080160 </v>
      </c>
    </row>
    <row r="52" spans="1:14" x14ac:dyDescent="0.25">
      <c r="A52" s="19" t="s">
        <v>1597</v>
      </c>
      <c r="B52" s="13" t="s">
        <v>1598</v>
      </c>
      <c r="C52" s="8">
        <v>15</v>
      </c>
      <c r="D52" s="9">
        <v>37.99</v>
      </c>
      <c r="E52" s="9">
        <v>569.85</v>
      </c>
      <c r="F52" s="8" t="s">
        <v>1599</v>
      </c>
      <c r="G52" s="13" t="s">
        <v>270</v>
      </c>
      <c r="H52" s="19" t="s">
        <v>55</v>
      </c>
      <c r="I52" s="13" t="s">
        <v>11</v>
      </c>
      <c r="J52" s="13" t="s">
        <v>266</v>
      </c>
      <c r="K52" s="13" t="s">
        <v>267</v>
      </c>
      <c r="L52" s="13"/>
      <c r="M52" s="13"/>
      <c r="N52" s="20" t="str">
        <f>HYPERLINK("http://slimages.macys.com/is/image/MCY/19714752 ")</f>
        <v xml:space="preserve">http://slimages.macys.com/is/image/MCY/19714752 </v>
      </c>
    </row>
    <row r="53" spans="1:14" x14ac:dyDescent="0.25">
      <c r="A53" s="19" t="s">
        <v>1601</v>
      </c>
      <c r="B53" s="13" t="s">
        <v>1602</v>
      </c>
      <c r="C53" s="8">
        <v>18</v>
      </c>
      <c r="D53" s="9">
        <v>32.99</v>
      </c>
      <c r="E53" s="9">
        <v>593.82000000000005</v>
      </c>
      <c r="F53" s="8" t="s">
        <v>1600</v>
      </c>
      <c r="G53" s="13" t="s">
        <v>104</v>
      </c>
      <c r="H53" s="19" t="s">
        <v>55</v>
      </c>
      <c r="I53" s="13" t="s">
        <v>11</v>
      </c>
      <c r="J53" s="13" t="s">
        <v>266</v>
      </c>
      <c r="K53" s="13" t="s">
        <v>267</v>
      </c>
      <c r="L53" s="13"/>
      <c r="M53" s="13"/>
      <c r="N53" s="20" t="str">
        <f>HYPERLINK("http://slimages.macys.com/is/image/MCY/19287197 ")</f>
        <v xml:space="preserve">http://slimages.macys.com/is/image/MCY/19287197 </v>
      </c>
    </row>
    <row r="54" spans="1:14" x14ac:dyDescent="0.25">
      <c r="A54" s="19" t="s">
        <v>1449</v>
      </c>
      <c r="B54" s="13" t="s">
        <v>1450</v>
      </c>
      <c r="C54" s="8">
        <v>12</v>
      </c>
      <c r="D54" s="9">
        <v>32.99</v>
      </c>
      <c r="E54" s="9">
        <v>395.88</v>
      </c>
      <c r="F54" s="8" t="s">
        <v>1451</v>
      </c>
      <c r="G54" s="13" t="s">
        <v>31</v>
      </c>
      <c r="H54" s="19" t="s">
        <v>55</v>
      </c>
      <c r="I54" s="13" t="s">
        <v>11</v>
      </c>
      <c r="J54" s="13" t="s">
        <v>266</v>
      </c>
      <c r="K54" s="13" t="s">
        <v>267</v>
      </c>
      <c r="L54" s="13"/>
      <c r="M54" s="13"/>
      <c r="N54" s="20" t="str">
        <f>HYPERLINK("http://slimages.macys.com/is/image/MCY/19287197 ")</f>
        <v xml:space="preserve">http://slimages.macys.com/is/image/MCY/19287197 </v>
      </c>
    </row>
    <row r="55" spans="1:14" x14ac:dyDescent="0.25">
      <c r="A55" s="19" t="s">
        <v>1603</v>
      </c>
      <c r="B55" s="13" t="s">
        <v>1604</v>
      </c>
      <c r="C55" s="8">
        <v>7</v>
      </c>
      <c r="D55" s="9">
        <v>32.99</v>
      </c>
      <c r="E55" s="9">
        <v>230.93</v>
      </c>
      <c r="F55" s="8" t="s">
        <v>1451</v>
      </c>
      <c r="G55" s="13" t="s">
        <v>31</v>
      </c>
      <c r="H55" s="19" t="s">
        <v>47</v>
      </c>
      <c r="I55" s="13" t="s">
        <v>11</v>
      </c>
      <c r="J55" s="13" t="s">
        <v>266</v>
      </c>
      <c r="K55" s="13" t="s">
        <v>267</v>
      </c>
      <c r="L55" s="13"/>
      <c r="M55" s="13"/>
      <c r="N55" s="20" t="str">
        <f>HYPERLINK("http://slimages.macys.com/is/image/MCY/19287197 ")</f>
        <v xml:space="preserve">http://slimages.macys.com/is/image/MCY/19287197 </v>
      </c>
    </row>
    <row r="56" spans="1:14" x14ac:dyDescent="0.25">
      <c r="A56" s="19" t="s">
        <v>1229</v>
      </c>
      <c r="B56" s="13" t="s">
        <v>1230</v>
      </c>
      <c r="C56" s="8">
        <v>13</v>
      </c>
      <c r="D56" s="9">
        <v>32.99</v>
      </c>
      <c r="E56" s="9">
        <v>428.87</v>
      </c>
      <c r="F56" s="8" t="s">
        <v>1231</v>
      </c>
      <c r="G56" s="13" t="s">
        <v>270</v>
      </c>
      <c r="H56" s="19" t="s">
        <v>55</v>
      </c>
      <c r="I56" s="13" t="s">
        <v>11</v>
      </c>
      <c r="J56" s="13" t="s">
        <v>266</v>
      </c>
      <c r="K56" s="13" t="s">
        <v>267</v>
      </c>
      <c r="L56" s="13"/>
      <c r="M56" s="13"/>
      <c r="N56" s="20" t="str">
        <f>HYPERLINK("http://slimages.macys.com/is/image/MCY/19287197 ")</f>
        <v xml:space="preserve">http://slimages.macys.com/is/image/MCY/19287197 </v>
      </c>
    </row>
    <row r="57" spans="1:14" x14ac:dyDescent="0.25">
      <c r="A57" s="19" t="s">
        <v>761</v>
      </c>
      <c r="B57" s="13" t="s">
        <v>762</v>
      </c>
      <c r="C57" s="8">
        <v>3</v>
      </c>
      <c r="D57" s="9">
        <v>17.989999999999998</v>
      </c>
      <c r="E57" s="9">
        <v>53.97</v>
      </c>
      <c r="F57" s="8" t="s">
        <v>339</v>
      </c>
      <c r="G57" s="13" t="s">
        <v>174</v>
      </c>
      <c r="H57" s="19" t="s">
        <v>32</v>
      </c>
      <c r="I57" s="13" t="s">
        <v>11</v>
      </c>
      <c r="J57" s="13" t="s">
        <v>266</v>
      </c>
      <c r="K57" s="13" t="s">
        <v>267</v>
      </c>
      <c r="L57" s="13"/>
      <c r="M57" s="13"/>
      <c r="N57" s="20" t="str">
        <f>HYPERLINK("http://slimages.macys.com/is/image/MCY/19797477 ")</f>
        <v xml:space="preserve">http://slimages.macys.com/is/image/MCY/19797477 </v>
      </c>
    </row>
    <row r="58" spans="1:14" x14ac:dyDescent="0.25">
      <c r="A58" s="19" t="s">
        <v>763</v>
      </c>
      <c r="B58" s="13" t="s">
        <v>764</v>
      </c>
      <c r="C58" s="8">
        <v>11</v>
      </c>
      <c r="D58" s="9">
        <v>17.989999999999998</v>
      </c>
      <c r="E58" s="9">
        <v>197.89</v>
      </c>
      <c r="F58" s="8" t="s">
        <v>339</v>
      </c>
      <c r="G58" s="13" t="s">
        <v>174</v>
      </c>
      <c r="H58" s="19" t="s">
        <v>40</v>
      </c>
      <c r="I58" s="13" t="s">
        <v>11</v>
      </c>
      <c r="J58" s="13" t="s">
        <v>266</v>
      </c>
      <c r="K58" s="13" t="s">
        <v>267</v>
      </c>
      <c r="L58" s="13"/>
      <c r="M58" s="13"/>
      <c r="N58" s="20" t="str">
        <f>HYPERLINK("http://slimages.macys.com/is/image/MCY/19797477 ")</f>
        <v xml:space="preserve">http://slimages.macys.com/is/image/MCY/19797477 </v>
      </c>
    </row>
    <row r="59" spans="1:14" x14ac:dyDescent="0.25">
      <c r="A59" s="19" t="s">
        <v>337</v>
      </c>
      <c r="B59" s="13" t="s">
        <v>338</v>
      </c>
      <c r="C59" s="8">
        <v>11</v>
      </c>
      <c r="D59" s="9">
        <v>17.989999999999998</v>
      </c>
      <c r="E59" s="9">
        <v>197.89</v>
      </c>
      <c r="F59" s="8" t="s">
        <v>339</v>
      </c>
      <c r="G59" s="13" t="s">
        <v>174</v>
      </c>
      <c r="H59" s="19" t="s">
        <v>47</v>
      </c>
      <c r="I59" s="13" t="s">
        <v>11</v>
      </c>
      <c r="J59" s="13" t="s">
        <v>266</v>
      </c>
      <c r="K59" s="13" t="s">
        <v>267</v>
      </c>
      <c r="L59" s="13"/>
      <c r="M59" s="13"/>
      <c r="N59" s="20" t="str">
        <f>HYPERLINK("http://slimages.macys.com/is/image/MCY/19797477 ")</f>
        <v xml:space="preserve">http://slimages.macys.com/is/image/MCY/19797477 </v>
      </c>
    </row>
    <row r="60" spans="1:14" x14ac:dyDescent="0.25">
      <c r="A60" s="19" t="s">
        <v>340</v>
      </c>
      <c r="B60" s="13" t="s">
        <v>341</v>
      </c>
      <c r="C60" s="8">
        <v>12</v>
      </c>
      <c r="D60" s="9">
        <v>17.989999999999998</v>
      </c>
      <c r="E60" s="9">
        <v>215.88</v>
      </c>
      <c r="F60" s="8" t="s">
        <v>339</v>
      </c>
      <c r="G60" s="13" t="s">
        <v>174</v>
      </c>
      <c r="H60" s="19" t="s">
        <v>87</v>
      </c>
      <c r="I60" s="13" t="s">
        <v>11</v>
      </c>
      <c r="J60" s="13" t="s">
        <v>266</v>
      </c>
      <c r="K60" s="13" t="s">
        <v>267</v>
      </c>
      <c r="L60" s="13"/>
      <c r="M60" s="13"/>
      <c r="N60" s="20" t="str">
        <f>HYPERLINK("http://slimages.macys.com/is/image/MCY/19797477 ")</f>
        <v xml:space="preserve">http://slimages.macys.com/is/image/MCY/19797477 </v>
      </c>
    </row>
    <row r="61" spans="1:14" x14ac:dyDescent="0.25">
      <c r="A61" s="19" t="s">
        <v>2787</v>
      </c>
      <c r="B61" s="13" t="s">
        <v>2788</v>
      </c>
      <c r="C61" s="8">
        <v>13</v>
      </c>
      <c r="D61" s="9">
        <v>23.99</v>
      </c>
      <c r="E61" s="9">
        <v>311.87</v>
      </c>
      <c r="F61" s="8" t="s">
        <v>1605</v>
      </c>
      <c r="G61" s="13" t="s">
        <v>270</v>
      </c>
      <c r="H61" s="19" t="s">
        <v>47</v>
      </c>
      <c r="I61" s="13" t="s">
        <v>11</v>
      </c>
      <c r="J61" s="13" t="s">
        <v>266</v>
      </c>
      <c r="K61" s="13" t="s">
        <v>267</v>
      </c>
      <c r="L61" s="13"/>
      <c r="M61" s="13"/>
      <c r="N61" s="20" t="str">
        <f>HYPERLINK("http://slimages.macys.com/is/image/MCY/19287181 ")</f>
        <v xml:space="preserve">http://slimages.macys.com/is/image/MCY/19287181 </v>
      </c>
    </row>
    <row r="62" spans="1:14" x14ac:dyDescent="0.25">
      <c r="A62" s="19" t="s">
        <v>1744</v>
      </c>
      <c r="B62" s="13" t="s">
        <v>1745</v>
      </c>
      <c r="C62" s="8">
        <v>14</v>
      </c>
      <c r="D62" s="9">
        <v>27.99</v>
      </c>
      <c r="E62" s="9">
        <v>391.86</v>
      </c>
      <c r="F62" s="8" t="s">
        <v>283</v>
      </c>
      <c r="G62" s="13" t="s">
        <v>122</v>
      </c>
      <c r="H62" s="19" t="s">
        <v>55</v>
      </c>
      <c r="I62" s="13" t="s">
        <v>11</v>
      </c>
      <c r="J62" s="13" t="s">
        <v>266</v>
      </c>
      <c r="K62" s="13" t="s">
        <v>267</v>
      </c>
      <c r="L62" s="13"/>
      <c r="M62" s="13"/>
      <c r="N62" s="20" t="str">
        <f>HYPERLINK("http://slimages.macys.com/is/image/MCY/1051900 ")</f>
        <v xml:space="preserve">http://slimages.macys.com/is/image/MCY/1051900 </v>
      </c>
    </row>
    <row r="63" spans="1:14" x14ac:dyDescent="0.25">
      <c r="A63" s="19" t="s">
        <v>1588</v>
      </c>
      <c r="B63" s="13" t="s">
        <v>1589</v>
      </c>
      <c r="C63" s="8">
        <v>2</v>
      </c>
      <c r="D63" s="9">
        <v>26.6</v>
      </c>
      <c r="E63" s="9">
        <v>53.2</v>
      </c>
      <c r="F63" s="8">
        <v>16678</v>
      </c>
      <c r="G63" s="13" t="s">
        <v>37</v>
      </c>
      <c r="H63" s="19" t="s">
        <v>27</v>
      </c>
      <c r="I63" s="13" t="s">
        <v>11</v>
      </c>
      <c r="J63" s="13" t="s">
        <v>539</v>
      </c>
      <c r="K63" s="13" t="s">
        <v>889</v>
      </c>
      <c r="L63" s="13"/>
      <c r="M63" s="13"/>
      <c r="N63" s="20" t="str">
        <f>HYPERLINK("http://slimages.macys.com/is/image/MCY/18653165 ")</f>
        <v xml:space="preserve">http://slimages.macys.com/is/image/MCY/18653165 </v>
      </c>
    </row>
    <row r="64" spans="1:14" x14ac:dyDescent="0.25">
      <c r="A64" s="19" t="s">
        <v>2836</v>
      </c>
      <c r="B64" s="13" t="s">
        <v>2837</v>
      </c>
      <c r="C64" s="8">
        <v>6</v>
      </c>
      <c r="D64" s="9">
        <v>26.6</v>
      </c>
      <c r="E64" s="9">
        <v>159.6</v>
      </c>
      <c r="F64" s="8">
        <v>16678</v>
      </c>
      <c r="G64" s="13" t="s">
        <v>378</v>
      </c>
      <c r="H64" s="19" t="s">
        <v>32</v>
      </c>
      <c r="I64" s="13" t="s">
        <v>11</v>
      </c>
      <c r="J64" s="13" t="s">
        <v>539</v>
      </c>
      <c r="K64" s="13" t="s">
        <v>889</v>
      </c>
      <c r="L64" s="13"/>
      <c r="M64" s="13"/>
      <c r="N64" s="20" t="str">
        <f>HYPERLINK("http://slimages.macys.com/is/image/MCY/18653165 ")</f>
        <v xml:space="preserve">http://slimages.macys.com/is/image/MCY/18653165 </v>
      </c>
    </row>
    <row r="65" spans="1:14" x14ac:dyDescent="0.25">
      <c r="A65" s="19" t="s">
        <v>2840</v>
      </c>
      <c r="B65" s="13" t="s">
        <v>2841</v>
      </c>
      <c r="C65" s="8">
        <v>11</v>
      </c>
      <c r="D65" s="9">
        <v>25.2</v>
      </c>
      <c r="E65" s="9">
        <v>277.2</v>
      </c>
      <c r="F65" s="8">
        <v>16841</v>
      </c>
      <c r="G65" s="13" t="s">
        <v>484</v>
      </c>
      <c r="H65" s="19" t="s">
        <v>32</v>
      </c>
      <c r="I65" s="13" t="s">
        <v>11</v>
      </c>
      <c r="J65" s="13" t="s">
        <v>539</v>
      </c>
      <c r="K65" s="13" t="s">
        <v>889</v>
      </c>
      <c r="L65" s="13"/>
      <c r="M65" s="13"/>
      <c r="N65" s="20" t="str">
        <f>HYPERLINK("http://slimages.macys.com/is/image/MCY/20353960 ")</f>
        <v xml:space="preserve">http://slimages.macys.com/is/image/MCY/20353960 </v>
      </c>
    </row>
    <row r="66" spans="1:14" x14ac:dyDescent="0.25">
      <c r="A66" s="19" t="s">
        <v>2838</v>
      </c>
      <c r="B66" s="13" t="s">
        <v>2839</v>
      </c>
      <c r="C66" s="8">
        <v>15</v>
      </c>
      <c r="D66" s="9">
        <v>25.2</v>
      </c>
      <c r="E66" s="9">
        <v>378</v>
      </c>
      <c r="F66" s="8">
        <v>16841</v>
      </c>
      <c r="G66" s="13" t="s">
        <v>484</v>
      </c>
      <c r="H66" s="19"/>
      <c r="I66" s="13" t="s">
        <v>11</v>
      </c>
      <c r="J66" s="13" t="s">
        <v>539</v>
      </c>
      <c r="K66" s="13" t="s">
        <v>889</v>
      </c>
      <c r="L66" s="13"/>
      <c r="M66" s="13"/>
      <c r="N66" s="20" t="str">
        <f>HYPERLINK("http://slimages.macys.com/is/image/MCY/20353960 ")</f>
        <v xml:space="preserve">http://slimages.macys.com/is/image/MCY/20353960 </v>
      </c>
    </row>
    <row r="67" spans="1:14" x14ac:dyDescent="0.25">
      <c r="A67" s="19" t="s">
        <v>2805</v>
      </c>
      <c r="B67" s="13" t="s">
        <v>2806</v>
      </c>
      <c r="C67" s="8">
        <v>7</v>
      </c>
      <c r="D67" s="9">
        <v>28.8</v>
      </c>
      <c r="E67" s="9">
        <v>201.6</v>
      </c>
      <c r="F67" s="8" t="s">
        <v>1297</v>
      </c>
      <c r="G67" s="13" t="s">
        <v>1769</v>
      </c>
      <c r="H67" s="19" t="s">
        <v>55</v>
      </c>
      <c r="I67" s="13" t="s">
        <v>11</v>
      </c>
      <c r="J67" s="13" t="s">
        <v>343</v>
      </c>
      <c r="K67" s="13" t="s">
        <v>393</v>
      </c>
      <c r="L67" s="13"/>
      <c r="M67" s="13"/>
      <c r="N67" s="20" t="str">
        <f>HYPERLINK("http://slimages.macys.com/is/image/MCY/20576871 ")</f>
        <v xml:space="preserve">http://slimages.macys.com/is/image/MCY/20576871 </v>
      </c>
    </row>
    <row r="68" spans="1:14" x14ac:dyDescent="0.25">
      <c r="A68" s="19" t="s">
        <v>1628</v>
      </c>
      <c r="B68" s="13" t="s">
        <v>1629</v>
      </c>
      <c r="C68" s="8">
        <v>7</v>
      </c>
      <c r="D68" s="9">
        <v>28.8</v>
      </c>
      <c r="E68" s="9">
        <v>201.6</v>
      </c>
      <c r="F68" s="8" t="s">
        <v>1290</v>
      </c>
      <c r="G68" s="13" t="s">
        <v>201</v>
      </c>
      <c r="H68" s="19" t="s">
        <v>40</v>
      </c>
      <c r="I68" s="13" t="s">
        <v>11</v>
      </c>
      <c r="J68" s="13" t="s">
        <v>343</v>
      </c>
      <c r="K68" s="13" t="s">
        <v>393</v>
      </c>
      <c r="L68" s="13"/>
      <c r="M68" s="13"/>
      <c r="N68" s="20" t="str">
        <f>HYPERLINK("http://slimages.macys.com/is/image/MCY/20069866 ")</f>
        <v xml:space="preserve">http://slimages.macys.com/is/image/MCY/20069866 </v>
      </c>
    </row>
    <row r="69" spans="1:14" x14ac:dyDescent="0.25">
      <c r="A69" s="19" t="s">
        <v>2801</v>
      </c>
      <c r="B69" s="13" t="s">
        <v>2802</v>
      </c>
      <c r="C69" s="8">
        <v>16</v>
      </c>
      <c r="D69" s="9">
        <v>48</v>
      </c>
      <c r="E69" s="9">
        <v>768</v>
      </c>
      <c r="F69" s="8" t="s">
        <v>2772</v>
      </c>
      <c r="G69" s="13" t="s">
        <v>62</v>
      </c>
      <c r="H69" s="19" t="s">
        <v>227</v>
      </c>
      <c r="I69" s="13" t="s">
        <v>11</v>
      </c>
      <c r="J69" s="13" t="s">
        <v>343</v>
      </c>
      <c r="K69" s="13" t="s">
        <v>1468</v>
      </c>
      <c r="L69" s="13"/>
      <c r="M69" s="13"/>
      <c r="N69" s="20" t="str">
        <f>HYPERLINK("http://slimages.macys.com/is/image/MCY/20742757 ")</f>
        <v xml:space="preserve">http://slimages.macys.com/is/image/MCY/20742757 </v>
      </c>
    </row>
    <row r="70" spans="1:14" x14ac:dyDescent="0.25">
      <c r="A70" s="19" t="s">
        <v>2789</v>
      </c>
      <c r="B70" s="13" t="s">
        <v>2790</v>
      </c>
      <c r="C70" s="8">
        <v>13</v>
      </c>
      <c r="D70" s="9">
        <v>54</v>
      </c>
      <c r="E70" s="9">
        <v>702</v>
      </c>
      <c r="F70" s="8" t="s">
        <v>1467</v>
      </c>
      <c r="G70" s="13" t="s">
        <v>102</v>
      </c>
      <c r="H70" s="19" t="s">
        <v>32</v>
      </c>
      <c r="I70" s="13" t="s">
        <v>11</v>
      </c>
      <c r="J70" s="13" t="s">
        <v>343</v>
      </c>
      <c r="K70" s="13" t="s">
        <v>1468</v>
      </c>
      <c r="L70" s="13"/>
      <c r="M70" s="13"/>
      <c r="N70" s="20" t="str">
        <f>HYPERLINK("http://slimages.macys.com/is/image/MCY/20226394 ")</f>
        <v xml:space="preserve">http://slimages.macys.com/is/image/MCY/20226394 </v>
      </c>
    </row>
    <row r="71" spans="1:14" x14ac:dyDescent="0.25">
      <c r="A71" s="19" t="s">
        <v>1686</v>
      </c>
      <c r="B71" s="13" t="s">
        <v>2793</v>
      </c>
      <c r="C71" s="8">
        <v>13</v>
      </c>
      <c r="D71" s="9">
        <v>54</v>
      </c>
      <c r="E71" s="9">
        <v>702</v>
      </c>
      <c r="F71" s="8" t="s">
        <v>1467</v>
      </c>
      <c r="G71" s="13" t="s">
        <v>102</v>
      </c>
      <c r="H71" s="19" t="s">
        <v>227</v>
      </c>
      <c r="I71" s="13" t="s">
        <v>11</v>
      </c>
      <c r="J71" s="13" t="s">
        <v>343</v>
      </c>
      <c r="K71" s="13" t="s">
        <v>1468</v>
      </c>
      <c r="L71" s="13"/>
      <c r="M71" s="13"/>
      <c r="N71" s="20" t="str">
        <f>HYPERLINK("http://slimages.macys.com/is/image/MCY/20226394 ")</f>
        <v xml:space="preserve">http://slimages.macys.com/is/image/MCY/20226394 </v>
      </c>
    </row>
    <row r="72" spans="1:14" x14ac:dyDescent="0.25">
      <c r="A72" s="19" t="s">
        <v>1619</v>
      </c>
      <c r="B72" s="13" t="s">
        <v>1620</v>
      </c>
      <c r="C72" s="8">
        <v>13</v>
      </c>
      <c r="D72" s="9">
        <v>54</v>
      </c>
      <c r="E72" s="9">
        <v>702</v>
      </c>
      <c r="F72" s="8" t="s">
        <v>1467</v>
      </c>
      <c r="G72" s="13" t="s">
        <v>102</v>
      </c>
      <c r="H72" s="19" t="s">
        <v>228</v>
      </c>
      <c r="I72" s="13" t="s">
        <v>11</v>
      </c>
      <c r="J72" s="13" t="s">
        <v>343</v>
      </c>
      <c r="K72" s="13" t="s">
        <v>1468</v>
      </c>
      <c r="L72" s="13"/>
      <c r="M72" s="13"/>
      <c r="N72" s="20" t="str">
        <f>HYPERLINK("http://slimages.macys.com/is/image/MCY/20226394 ")</f>
        <v xml:space="preserve">http://slimages.macys.com/is/image/MCY/20226394 </v>
      </c>
    </row>
    <row r="73" spans="1:14" x14ac:dyDescent="0.25">
      <c r="A73" s="19" t="s">
        <v>2791</v>
      </c>
      <c r="B73" s="13" t="s">
        <v>2792</v>
      </c>
      <c r="C73" s="8">
        <v>12</v>
      </c>
      <c r="D73" s="9">
        <v>54</v>
      </c>
      <c r="E73" s="9">
        <v>648</v>
      </c>
      <c r="F73" s="8" t="s">
        <v>1467</v>
      </c>
      <c r="G73" s="13" t="s">
        <v>62</v>
      </c>
      <c r="H73" s="19" t="s">
        <v>32</v>
      </c>
      <c r="I73" s="13" t="s">
        <v>11</v>
      </c>
      <c r="J73" s="13" t="s">
        <v>343</v>
      </c>
      <c r="K73" s="13" t="s">
        <v>1468</v>
      </c>
      <c r="L73" s="13"/>
      <c r="M73" s="13"/>
      <c r="N73" s="20" t="str">
        <f>HYPERLINK("http://slimages.macys.com/is/image/MCY/20226394 ")</f>
        <v xml:space="preserve">http://slimages.macys.com/is/image/MCY/20226394 </v>
      </c>
    </row>
    <row r="74" spans="1:14" x14ac:dyDescent="0.25">
      <c r="A74" s="19" t="s">
        <v>2484</v>
      </c>
      <c r="B74" s="13" t="s">
        <v>2485</v>
      </c>
      <c r="C74" s="8">
        <v>4</v>
      </c>
      <c r="D74" s="9">
        <v>74</v>
      </c>
      <c r="E74" s="9">
        <v>296</v>
      </c>
      <c r="F74" s="8" t="s">
        <v>1616</v>
      </c>
      <c r="G74" s="13" t="s">
        <v>102</v>
      </c>
      <c r="H74" s="19" t="s">
        <v>227</v>
      </c>
      <c r="I74" s="13" t="s">
        <v>11</v>
      </c>
      <c r="J74" s="13" t="s">
        <v>343</v>
      </c>
      <c r="K74" s="13" t="s">
        <v>1468</v>
      </c>
      <c r="L74" s="13"/>
      <c r="M74" s="13"/>
      <c r="N74" s="20" t="str">
        <f>HYPERLINK("http://slimages.macys.com/is/image/MCY/20226294 ")</f>
        <v xml:space="preserve">http://slimages.macys.com/is/image/MCY/20226294 </v>
      </c>
    </row>
    <row r="75" spans="1:14" x14ac:dyDescent="0.25">
      <c r="A75" s="19" t="s">
        <v>1534</v>
      </c>
      <c r="B75" s="13" t="s">
        <v>1535</v>
      </c>
      <c r="C75" s="8">
        <v>9</v>
      </c>
      <c r="D75" s="9">
        <v>25.2</v>
      </c>
      <c r="E75" s="9">
        <v>226.8</v>
      </c>
      <c r="F75" s="8" t="s">
        <v>1301</v>
      </c>
      <c r="G75" s="13" t="s">
        <v>135</v>
      </c>
      <c r="H75" s="19" t="s">
        <v>32</v>
      </c>
      <c r="I75" s="13" t="s">
        <v>11</v>
      </c>
      <c r="J75" s="13" t="s">
        <v>343</v>
      </c>
      <c r="K75" s="13" t="s">
        <v>379</v>
      </c>
      <c r="L75" s="13"/>
      <c r="M75" s="13"/>
      <c r="N75" s="20" t="str">
        <f t="shared" ref="N75:N81" si="1">HYPERLINK("http://slimages.macys.com/is/image/MCY/20376290 ")</f>
        <v xml:space="preserve">http://slimages.macys.com/is/image/MCY/20376290 </v>
      </c>
    </row>
    <row r="76" spans="1:14" x14ac:dyDescent="0.25">
      <c r="A76" s="19" t="s">
        <v>2777</v>
      </c>
      <c r="B76" s="13" t="s">
        <v>2778</v>
      </c>
      <c r="C76" s="8">
        <v>4</v>
      </c>
      <c r="D76" s="9">
        <v>25.2</v>
      </c>
      <c r="E76" s="9">
        <v>100.8</v>
      </c>
      <c r="F76" s="8" t="s">
        <v>1301</v>
      </c>
      <c r="G76" s="13" t="s">
        <v>135</v>
      </c>
      <c r="H76" s="19" t="s">
        <v>40</v>
      </c>
      <c r="I76" s="13" t="s">
        <v>11</v>
      </c>
      <c r="J76" s="13" t="s">
        <v>343</v>
      </c>
      <c r="K76" s="13" t="s">
        <v>379</v>
      </c>
      <c r="L76" s="13"/>
      <c r="M76" s="13"/>
      <c r="N76" s="20" t="str">
        <f t="shared" si="1"/>
        <v xml:space="preserve">http://slimages.macys.com/is/image/MCY/20376290 </v>
      </c>
    </row>
    <row r="77" spans="1:14" x14ac:dyDescent="0.25">
      <c r="A77" s="19" t="s">
        <v>1299</v>
      </c>
      <c r="B77" s="13" t="s">
        <v>1300</v>
      </c>
      <c r="C77" s="8">
        <v>12</v>
      </c>
      <c r="D77" s="9">
        <v>25.2</v>
      </c>
      <c r="E77" s="9">
        <v>302.39999999999998</v>
      </c>
      <c r="F77" s="8" t="s">
        <v>1301</v>
      </c>
      <c r="G77" s="13" t="s">
        <v>135</v>
      </c>
      <c r="H77" s="19" t="s">
        <v>55</v>
      </c>
      <c r="I77" s="13" t="s">
        <v>11</v>
      </c>
      <c r="J77" s="13" t="s">
        <v>343</v>
      </c>
      <c r="K77" s="13" t="s">
        <v>379</v>
      </c>
      <c r="L77" s="13"/>
      <c r="M77" s="13"/>
      <c r="N77" s="20" t="str">
        <f t="shared" si="1"/>
        <v xml:space="preserve">http://slimages.macys.com/is/image/MCY/20376290 </v>
      </c>
    </row>
    <row r="78" spans="1:14" x14ac:dyDescent="0.25">
      <c r="A78" s="19" t="s">
        <v>2809</v>
      </c>
      <c r="B78" s="13" t="s">
        <v>2810</v>
      </c>
      <c r="C78" s="8">
        <v>16</v>
      </c>
      <c r="D78" s="9">
        <v>25.2</v>
      </c>
      <c r="E78" s="9">
        <v>403.2</v>
      </c>
      <c r="F78" s="8" t="s">
        <v>1301</v>
      </c>
      <c r="G78" s="13" t="s">
        <v>135</v>
      </c>
      <c r="H78" s="19" t="s">
        <v>27</v>
      </c>
      <c r="I78" s="13" t="s">
        <v>11</v>
      </c>
      <c r="J78" s="13" t="s">
        <v>343</v>
      </c>
      <c r="K78" s="13" t="s">
        <v>379</v>
      </c>
      <c r="L78" s="13"/>
      <c r="M78" s="13"/>
      <c r="N78" s="20" t="str">
        <f t="shared" si="1"/>
        <v xml:space="preserve">http://slimages.macys.com/is/image/MCY/20376290 </v>
      </c>
    </row>
    <row r="79" spans="1:14" x14ac:dyDescent="0.25">
      <c r="A79" s="19" t="s">
        <v>1540</v>
      </c>
      <c r="B79" s="13" t="s">
        <v>1541</v>
      </c>
      <c r="C79" s="8">
        <v>7</v>
      </c>
      <c r="D79" s="9">
        <v>25.2</v>
      </c>
      <c r="E79" s="9">
        <v>176.4</v>
      </c>
      <c r="F79" s="8" t="s">
        <v>1301</v>
      </c>
      <c r="G79" s="13" t="s">
        <v>122</v>
      </c>
      <c r="H79" s="19" t="s">
        <v>40</v>
      </c>
      <c r="I79" s="13" t="s">
        <v>11</v>
      </c>
      <c r="J79" s="13" t="s">
        <v>343</v>
      </c>
      <c r="K79" s="13" t="s">
        <v>379</v>
      </c>
      <c r="L79" s="13"/>
      <c r="M79" s="13"/>
      <c r="N79" s="20" t="str">
        <f t="shared" si="1"/>
        <v xml:space="preserve">http://slimages.macys.com/is/image/MCY/20376290 </v>
      </c>
    </row>
    <row r="80" spans="1:14" x14ac:dyDescent="0.25">
      <c r="A80" s="19" t="s">
        <v>2807</v>
      </c>
      <c r="B80" s="13" t="s">
        <v>2808</v>
      </c>
      <c r="C80" s="8">
        <v>13</v>
      </c>
      <c r="D80" s="9">
        <v>25.2</v>
      </c>
      <c r="E80" s="9">
        <v>327.60000000000002</v>
      </c>
      <c r="F80" s="8" t="s">
        <v>1301</v>
      </c>
      <c r="G80" s="13" t="s">
        <v>122</v>
      </c>
      <c r="H80" s="19" t="s">
        <v>55</v>
      </c>
      <c r="I80" s="13" t="s">
        <v>11</v>
      </c>
      <c r="J80" s="13" t="s">
        <v>343</v>
      </c>
      <c r="K80" s="13" t="s">
        <v>379</v>
      </c>
      <c r="L80" s="13"/>
      <c r="M80" s="13"/>
      <c r="N80" s="20" t="str">
        <f t="shared" si="1"/>
        <v xml:space="preserve">http://slimages.macys.com/is/image/MCY/20376290 </v>
      </c>
    </row>
    <row r="81" spans="1:14" x14ac:dyDescent="0.25">
      <c r="A81" s="19" t="s">
        <v>1532</v>
      </c>
      <c r="B81" s="13" t="s">
        <v>1533</v>
      </c>
      <c r="C81" s="8">
        <v>12</v>
      </c>
      <c r="D81" s="9">
        <v>25.2</v>
      </c>
      <c r="E81" s="9">
        <v>302.39999999999998</v>
      </c>
      <c r="F81" s="8" t="s">
        <v>1301</v>
      </c>
      <c r="G81" s="13" t="s">
        <v>122</v>
      </c>
      <c r="H81" s="19" t="s">
        <v>27</v>
      </c>
      <c r="I81" s="13" t="s">
        <v>11</v>
      </c>
      <c r="J81" s="13" t="s">
        <v>343</v>
      </c>
      <c r="K81" s="13" t="s">
        <v>379</v>
      </c>
      <c r="L81" s="13"/>
      <c r="M81" s="13"/>
      <c r="N81" s="20" t="str">
        <f t="shared" si="1"/>
        <v xml:space="preserve">http://slimages.macys.com/is/image/MCY/20376290 </v>
      </c>
    </row>
    <row r="82" spans="1:14" x14ac:dyDescent="0.25">
      <c r="A82" s="19" t="s">
        <v>1633</v>
      </c>
      <c r="B82" s="13" t="s">
        <v>1634</v>
      </c>
      <c r="C82" s="8">
        <v>10</v>
      </c>
      <c r="D82" s="9">
        <v>22.99</v>
      </c>
      <c r="E82" s="9">
        <v>229.9</v>
      </c>
      <c r="F82" s="8" t="s">
        <v>775</v>
      </c>
      <c r="G82" s="13" t="s">
        <v>122</v>
      </c>
      <c r="H82" s="19" t="s">
        <v>47</v>
      </c>
      <c r="I82" s="13" t="s">
        <v>11</v>
      </c>
      <c r="J82" s="13" t="s">
        <v>343</v>
      </c>
      <c r="K82" s="13" t="s">
        <v>379</v>
      </c>
      <c r="L82" s="13"/>
      <c r="M82" s="13"/>
      <c r="N82" s="20" t="str">
        <f>HYPERLINK("http://slimages.macys.com/is/image/MCY/20356327 ")</f>
        <v xml:space="preserve">http://slimages.macys.com/is/image/MCY/20356327 </v>
      </c>
    </row>
    <row r="83" spans="1:14" x14ac:dyDescent="0.25">
      <c r="A83" s="19" t="s">
        <v>2815</v>
      </c>
      <c r="B83" s="13" t="s">
        <v>2816</v>
      </c>
      <c r="C83" s="8">
        <v>8</v>
      </c>
      <c r="D83" s="9">
        <v>22.99</v>
      </c>
      <c r="E83" s="9">
        <v>183.92</v>
      </c>
      <c r="F83" s="8" t="s">
        <v>775</v>
      </c>
      <c r="G83" s="13" t="s">
        <v>44</v>
      </c>
      <c r="H83" s="19" t="s">
        <v>2817</v>
      </c>
      <c r="I83" s="13" t="s">
        <v>11</v>
      </c>
      <c r="J83" s="13" t="s">
        <v>343</v>
      </c>
      <c r="K83" s="13" t="s">
        <v>379</v>
      </c>
      <c r="L83" s="13"/>
      <c r="M83" s="13"/>
      <c r="N83" s="20" t="str">
        <f>HYPERLINK("http://slimages.macys.com/is/image/MCY/20356327 ")</f>
        <v xml:space="preserve">http://slimages.macys.com/is/image/MCY/20356327 </v>
      </c>
    </row>
    <row r="84" spans="1:14" x14ac:dyDescent="0.25">
      <c r="A84" s="19" t="s">
        <v>2813</v>
      </c>
      <c r="B84" s="13" t="s">
        <v>2814</v>
      </c>
      <c r="C84" s="8">
        <v>8</v>
      </c>
      <c r="D84" s="9">
        <v>22.99</v>
      </c>
      <c r="E84" s="9">
        <v>183.92</v>
      </c>
      <c r="F84" s="8" t="s">
        <v>775</v>
      </c>
      <c r="G84" s="13" t="s">
        <v>44</v>
      </c>
      <c r="H84" s="19" t="s">
        <v>47</v>
      </c>
      <c r="I84" s="13" t="s">
        <v>11</v>
      </c>
      <c r="J84" s="13" t="s">
        <v>343</v>
      </c>
      <c r="K84" s="13" t="s">
        <v>379</v>
      </c>
      <c r="L84" s="13"/>
      <c r="M84" s="13"/>
      <c r="N84" s="20" t="str">
        <f>HYPERLINK("http://slimages.macys.com/is/image/MCY/20356327 ")</f>
        <v xml:space="preserve">http://slimages.macys.com/is/image/MCY/20356327 </v>
      </c>
    </row>
    <row r="85" spans="1:14" x14ac:dyDescent="0.25">
      <c r="A85" s="19" t="s">
        <v>2811</v>
      </c>
      <c r="B85" s="13" t="s">
        <v>2812</v>
      </c>
      <c r="C85" s="8">
        <v>1</v>
      </c>
      <c r="D85" s="9">
        <v>22.99</v>
      </c>
      <c r="E85" s="9">
        <v>22.99</v>
      </c>
      <c r="F85" s="8" t="s">
        <v>775</v>
      </c>
      <c r="G85" s="13" t="s">
        <v>44</v>
      </c>
      <c r="H85" s="19" t="s">
        <v>184</v>
      </c>
      <c r="I85" s="13" t="s">
        <v>11</v>
      </c>
      <c r="J85" s="13" t="s">
        <v>343</v>
      </c>
      <c r="K85" s="13" t="s">
        <v>379</v>
      </c>
      <c r="L85" s="13"/>
      <c r="M85" s="13"/>
      <c r="N85" s="20" t="str">
        <f>HYPERLINK("http://slimages.macys.com/is/image/MCY/20356327 ")</f>
        <v xml:space="preserve">http://slimages.macys.com/is/image/MCY/20356327 </v>
      </c>
    </row>
    <row r="86" spans="1:14" x14ac:dyDescent="0.25">
      <c r="A86" s="19" t="s">
        <v>2831</v>
      </c>
      <c r="B86" s="13" t="s">
        <v>2832</v>
      </c>
      <c r="C86" s="8">
        <v>5</v>
      </c>
      <c r="D86" s="9">
        <v>12</v>
      </c>
      <c r="E86" s="9">
        <v>60</v>
      </c>
      <c r="F86" s="8" t="s">
        <v>2833</v>
      </c>
      <c r="G86" s="13" t="s">
        <v>44</v>
      </c>
      <c r="H86" s="19" t="s">
        <v>255</v>
      </c>
      <c r="I86" s="13" t="s">
        <v>11</v>
      </c>
      <c r="J86" s="13" t="s">
        <v>343</v>
      </c>
      <c r="K86" s="13" t="s">
        <v>379</v>
      </c>
      <c r="L86" s="13"/>
      <c r="M86" s="13"/>
      <c r="N86" s="20" t="str">
        <f>HYPERLINK("http://slimages.macys.com/is/image/MCY/19547308 ")</f>
        <v xml:space="preserve">http://slimages.macys.com/is/image/MCY/19547308 </v>
      </c>
    </row>
    <row r="87" spans="1:14" x14ac:dyDescent="0.25">
      <c r="A87" s="19" t="s">
        <v>1542</v>
      </c>
      <c r="B87" s="13" t="s">
        <v>1543</v>
      </c>
      <c r="C87" s="8">
        <v>18</v>
      </c>
      <c r="D87" s="9">
        <v>36</v>
      </c>
      <c r="E87" s="9">
        <v>648</v>
      </c>
      <c r="F87" s="8" t="s">
        <v>1306</v>
      </c>
      <c r="G87" s="13" t="s">
        <v>86</v>
      </c>
      <c r="H87" s="19" t="s">
        <v>55</v>
      </c>
      <c r="I87" s="13" t="s">
        <v>11</v>
      </c>
      <c r="J87" s="13" t="s">
        <v>343</v>
      </c>
      <c r="K87" s="13" t="s">
        <v>379</v>
      </c>
      <c r="L87" s="13"/>
      <c r="M87" s="13"/>
      <c r="N87" s="20" t="str">
        <f>HYPERLINK("http://slimages.macys.com/is/image/MCY/19626293 ")</f>
        <v xml:space="preserve">http://slimages.macys.com/is/image/MCY/19626293 </v>
      </c>
    </row>
    <row r="88" spans="1:14" x14ac:dyDescent="0.25">
      <c r="A88" s="19" t="s">
        <v>1311</v>
      </c>
      <c r="B88" s="13" t="s">
        <v>1312</v>
      </c>
      <c r="C88" s="8">
        <v>15</v>
      </c>
      <c r="D88" s="9">
        <v>36</v>
      </c>
      <c r="E88" s="9">
        <v>540</v>
      </c>
      <c r="F88" s="8" t="s">
        <v>1306</v>
      </c>
      <c r="G88" s="13" t="s">
        <v>349</v>
      </c>
      <c r="H88" s="19" t="s">
        <v>32</v>
      </c>
      <c r="I88" s="13" t="s">
        <v>11</v>
      </c>
      <c r="J88" s="13" t="s">
        <v>343</v>
      </c>
      <c r="K88" s="13" t="s">
        <v>379</v>
      </c>
      <c r="L88" s="13"/>
      <c r="M88" s="13"/>
      <c r="N88" s="20" t="str">
        <f>HYPERLINK("http://slimages.macys.com/is/image/MCY/19626293 ")</f>
        <v xml:space="preserve">http://slimages.macys.com/is/image/MCY/19626293 </v>
      </c>
    </row>
    <row r="89" spans="1:14" x14ac:dyDescent="0.25">
      <c r="A89" s="19" t="s">
        <v>1317</v>
      </c>
      <c r="B89" s="13" t="s">
        <v>1318</v>
      </c>
      <c r="C89" s="8">
        <v>16</v>
      </c>
      <c r="D89" s="9">
        <v>36</v>
      </c>
      <c r="E89" s="9">
        <v>576</v>
      </c>
      <c r="F89" s="8" t="s">
        <v>1306</v>
      </c>
      <c r="G89" s="13" t="s">
        <v>349</v>
      </c>
      <c r="H89" s="19" t="s">
        <v>40</v>
      </c>
      <c r="I89" s="13" t="s">
        <v>11</v>
      </c>
      <c r="J89" s="13" t="s">
        <v>343</v>
      </c>
      <c r="K89" s="13" t="s">
        <v>379</v>
      </c>
      <c r="L89" s="13"/>
      <c r="M89" s="13"/>
      <c r="N89" s="20" t="str">
        <f>HYPERLINK("http://slimages.macys.com/is/image/MCY/19626293 ")</f>
        <v xml:space="preserve">http://slimages.macys.com/is/image/MCY/19626293 </v>
      </c>
    </row>
    <row r="90" spans="1:14" x14ac:dyDescent="0.25">
      <c r="A90" s="19" t="s">
        <v>1309</v>
      </c>
      <c r="B90" s="13" t="s">
        <v>1310</v>
      </c>
      <c r="C90" s="8">
        <v>14</v>
      </c>
      <c r="D90" s="9">
        <v>36</v>
      </c>
      <c r="E90" s="9">
        <v>504</v>
      </c>
      <c r="F90" s="8" t="s">
        <v>1306</v>
      </c>
      <c r="G90" s="13" t="s">
        <v>349</v>
      </c>
      <c r="H90" s="19" t="s">
        <v>55</v>
      </c>
      <c r="I90" s="13" t="s">
        <v>11</v>
      </c>
      <c r="J90" s="13" t="s">
        <v>343</v>
      </c>
      <c r="K90" s="13" t="s">
        <v>379</v>
      </c>
      <c r="L90" s="13"/>
      <c r="M90" s="13"/>
      <c r="N90" s="20" t="str">
        <f>HYPERLINK("http://slimages.macys.com/is/image/MCY/19626293 ")</f>
        <v xml:space="preserve">http://slimages.macys.com/is/image/MCY/19626293 </v>
      </c>
    </row>
    <row r="91" spans="1:14" x14ac:dyDescent="0.25">
      <c r="A91" s="19" t="s">
        <v>1307</v>
      </c>
      <c r="B91" s="13" t="s">
        <v>1308</v>
      </c>
      <c r="C91" s="8">
        <v>9</v>
      </c>
      <c r="D91" s="9">
        <v>36</v>
      </c>
      <c r="E91" s="9">
        <v>324</v>
      </c>
      <c r="F91" s="8" t="s">
        <v>1306</v>
      </c>
      <c r="G91" s="13" t="s">
        <v>349</v>
      </c>
      <c r="H91" s="19" t="s">
        <v>27</v>
      </c>
      <c r="I91" s="13" t="s">
        <v>11</v>
      </c>
      <c r="J91" s="13" t="s">
        <v>343</v>
      </c>
      <c r="K91" s="13" t="s">
        <v>379</v>
      </c>
      <c r="L91" s="13"/>
      <c r="M91" s="13"/>
      <c r="N91" s="20" t="str">
        <f>HYPERLINK("http://slimages.macys.com/is/image/MCY/19626293 ")</f>
        <v xml:space="preserve">http://slimages.macys.com/is/image/MCY/19626293 </v>
      </c>
    </row>
  </sheetData>
  <sortState ref="A2:N91">
    <sortCondition ref="B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workbookViewId="0">
      <selection activeCell="C13" sqref="C13"/>
    </sheetView>
  </sheetViews>
  <sheetFormatPr defaultColWidth="81.140625" defaultRowHeight="15" x14ac:dyDescent="0.25"/>
  <cols>
    <col min="1" max="1" width="13.140625" style="26" bestFit="1" customWidth="1"/>
    <col min="2" max="2" width="54.7109375" style="26" bestFit="1" customWidth="1"/>
    <col min="3" max="3" width="12.42578125" style="26" bestFit="1" customWidth="1"/>
    <col min="4" max="4" width="15" style="26" bestFit="1" customWidth="1"/>
    <col min="5" max="5" width="21" style="26" bestFit="1" customWidth="1"/>
    <col min="6" max="6" width="15.85546875" style="26" bestFit="1" customWidth="1"/>
    <col min="7" max="7" width="12.140625" style="26" bestFit="1" customWidth="1"/>
    <col min="8" max="8" width="9.28515625" style="26" bestFit="1" customWidth="1"/>
    <col min="9" max="9" width="8.140625" style="26" bestFit="1" customWidth="1"/>
    <col min="10" max="10" width="17.5703125" style="26" bestFit="1" customWidth="1"/>
    <col min="11" max="11" width="34.7109375" style="26" bestFit="1" customWidth="1"/>
    <col min="12" max="12" width="17.7109375" style="26" bestFit="1" customWidth="1"/>
    <col min="13" max="13" width="15.140625" style="26" bestFit="1" customWidth="1"/>
    <col min="14" max="14" width="42.85546875" style="26" bestFit="1" customWidth="1"/>
    <col min="15" max="16384" width="81.140625" style="26"/>
  </cols>
  <sheetData>
    <row r="1" spans="1:14" x14ac:dyDescent="0.25">
      <c r="A1" s="15" t="s">
        <v>12</v>
      </c>
      <c r="B1" s="15" t="s">
        <v>13</v>
      </c>
      <c r="C1" s="15" t="s">
        <v>14</v>
      </c>
      <c r="D1" s="15" t="s">
        <v>5</v>
      </c>
      <c r="E1" s="15" t="s">
        <v>9</v>
      </c>
      <c r="F1" s="15" t="s">
        <v>15</v>
      </c>
      <c r="G1" s="15" t="s">
        <v>16</v>
      </c>
      <c r="H1" s="15" t="s">
        <v>17</v>
      </c>
      <c r="I1" s="15" t="s">
        <v>10</v>
      </c>
      <c r="J1" s="15" t="s">
        <v>18</v>
      </c>
      <c r="K1" s="15" t="s">
        <v>19</v>
      </c>
      <c r="L1" s="15" t="s">
        <v>20</v>
      </c>
      <c r="M1" s="15" t="s">
        <v>21</v>
      </c>
      <c r="N1" s="15" t="s">
        <v>22</v>
      </c>
    </row>
    <row r="2" spans="1:14" x14ac:dyDescent="0.25">
      <c r="A2" s="21" t="s">
        <v>41</v>
      </c>
      <c r="B2" s="16" t="s">
        <v>42</v>
      </c>
      <c r="C2" s="17">
        <v>38</v>
      </c>
      <c r="D2" s="22">
        <v>34.99</v>
      </c>
      <c r="E2" s="22">
        <v>1329.62</v>
      </c>
      <c r="F2" s="17" t="s">
        <v>43</v>
      </c>
      <c r="G2" s="16" t="s">
        <v>44</v>
      </c>
      <c r="H2" s="21" t="s">
        <v>40</v>
      </c>
      <c r="I2" s="16" t="s">
        <v>11</v>
      </c>
      <c r="J2" s="16" t="s">
        <v>28</v>
      </c>
      <c r="K2" s="16" t="s">
        <v>29</v>
      </c>
      <c r="L2" s="16"/>
      <c r="M2" s="16"/>
      <c r="N2" s="23" t="str">
        <f>HYPERLINK("http://slimages.macys.com/is/image/MCY/18574724 ")</f>
        <v xml:space="preserve">http://slimages.macys.com/is/image/MCY/18574724 </v>
      </c>
    </row>
    <row r="3" spans="1:14" x14ac:dyDescent="0.25">
      <c r="A3" s="21" t="s">
        <v>566</v>
      </c>
      <c r="B3" s="16" t="s">
        <v>567</v>
      </c>
      <c r="C3" s="17">
        <v>31</v>
      </c>
      <c r="D3" s="22">
        <v>34.99</v>
      </c>
      <c r="E3" s="22">
        <v>1084.69</v>
      </c>
      <c r="F3" s="17" t="s">
        <v>43</v>
      </c>
      <c r="G3" s="16" t="s">
        <v>44</v>
      </c>
      <c r="H3" s="21" t="s">
        <v>55</v>
      </c>
      <c r="I3" s="16" t="s">
        <v>11</v>
      </c>
      <c r="J3" s="16" t="s">
        <v>28</v>
      </c>
      <c r="K3" s="16" t="s">
        <v>29</v>
      </c>
      <c r="L3" s="16"/>
      <c r="M3" s="16"/>
      <c r="N3" s="23" t="str">
        <f>HYPERLINK("http://slimages.macys.com/is/image/MCY/18574724 ")</f>
        <v xml:space="preserve">http://slimages.macys.com/is/image/MCY/18574724 </v>
      </c>
    </row>
    <row r="4" spans="1:14" x14ac:dyDescent="0.25">
      <c r="A4" s="21" t="s">
        <v>45</v>
      </c>
      <c r="B4" s="16" t="s">
        <v>46</v>
      </c>
      <c r="C4" s="17">
        <v>38</v>
      </c>
      <c r="D4" s="22">
        <v>34.99</v>
      </c>
      <c r="E4" s="22">
        <v>1329.62</v>
      </c>
      <c r="F4" s="17" t="s">
        <v>43</v>
      </c>
      <c r="G4" s="16" t="s">
        <v>44</v>
      </c>
      <c r="H4" s="21" t="s">
        <v>47</v>
      </c>
      <c r="I4" s="16" t="s">
        <v>11</v>
      </c>
      <c r="J4" s="16" t="s">
        <v>28</v>
      </c>
      <c r="K4" s="16" t="s">
        <v>29</v>
      </c>
      <c r="L4" s="16"/>
      <c r="M4" s="16"/>
      <c r="N4" s="23" t="str">
        <f>HYPERLINK("http://slimages.macys.com/is/image/MCY/18742971 ")</f>
        <v xml:space="preserve">http://slimages.macys.com/is/image/MCY/18742971 </v>
      </c>
    </row>
    <row r="5" spans="1:14" x14ac:dyDescent="0.25">
      <c r="A5" s="21" t="s">
        <v>579</v>
      </c>
      <c r="B5" s="16" t="s">
        <v>580</v>
      </c>
      <c r="C5" s="17">
        <v>1</v>
      </c>
      <c r="D5" s="22">
        <v>39.99</v>
      </c>
      <c r="E5" s="22">
        <v>39.99</v>
      </c>
      <c r="F5" s="17" t="s">
        <v>576</v>
      </c>
      <c r="G5" s="16" t="s">
        <v>31</v>
      </c>
      <c r="H5" s="21" t="s">
        <v>40</v>
      </c>
      <c r="I5" s="16" t="s">
        <v>11</v>
      </c>
      <c r="J5" s="16" t="s">
        <v>28</v>
      </c>
      <c r="K5" s="16" t="s">
        <v>29</v>
      </c>
      <c r="L5" s="16"/>
      <c r="M5" s="16"/>
      <c r="N5" s="23" t="str">
        <f>HYPERLINK("http://slimages.macys.com/is/image/MCY/1017709 ")</f>
        <v xml:space="preserve">http://slimages.macys.com/is/image/MCY/1017709 </v>
      </c>
    </row>
    <row r="6" spans="1:14" x14ac:dyDescent="0.25">
      <c r="A6" s="21" t="s">
        <v>2074</v>
      </c>
      <c r="B6" s="16" t="s">
        <v>2075</v>
      </c>
      <c r="C6" s="17">
        <v>13</v>
      </c>
      <c r="D6" s="22">
        <v>39.99</v>
      </c>
      <c r="E6" s="22">
        <v>519.87</v>
      </c>
      <c r="F6" s="17" t="s">
        <v>576</v>
      </c>
      <c r="G6" s="16" t="s">
        <v>57</v>
      </c>
      <c r="H6" s="21" t="s">
        <v>40</v>
      </c>
      <c r="I6" s="16" t="s">
        <v>11</v>
      </c>
      <c r="J6" s="16" t="s">
        <v>28</v>
      </c>
      <c r="K6" s="16" t="s">
        <v>29</v>
      </c>
      <c r="L6" s="16"/>
      <c r="M6" s="16"/>
      <c r="N6" s="23" t="str">
        <f>HYPERLINK("http://slimages.macys.com/is/image/MCY/20051271 ")</f>
        <v xml:space="preserve">http://slimages.macys.com/is/image/MCY/20051271 </v>
      </c>
    </row>
    <row r="7" spans="1:14" x14ac:dyDescent="0.25">
      <c r="A7" s="21" t="s">
        <v>1592</v>
      </c>
      <c r="B7" s="16" t="s">
        <v>1593</v>
      </c>
      <c r="C7" s="17">
        <v>4</v>
      </c>
      <c r="D7" s="22">
        <v>25.99</v>
      </c>
      <c r="E7" s="22">
        <v>103.96</v>
      </c>
      <c r="F7" s="17" t="s">
        <v>71</v>
      </c>
      <c r="G7" s="16" t="s">
        <v>76</v>
      </c>
      <c r="H7" s="21" t="s">
        <v>47</v>
      </c>
      <c r="I7" s="16" t="s">
        <v>11</v>
      </c>
      <c r="J7" s="16" t="s">
        <v>28</v>
      </c>
      <c r="K7" s="16" t="s">
        <v>29</v>
      </c>
      <c r="L7" s="16"/>
      <c r="M7" s="16"/>
      <c r="N7" s="23" t="str">
        <f>HYPERLINK("http://slimages.macys.com/is/image/MCY/18574734 ")</f>
        <v xml:space="preserve">http://slimages.macys.com/is/image/MCY/18574734 </v>
      </c>
    </row>
    <row r="8" spans="1:14" x14ac:dyDescent="0.25">
      <c r="A8" s="21" t="s">
        <v>66</v>
      </c>
      <c r="B8" s="16" t="s">
        <v>67</v>
      </c>
      <c r="C8" s="17">
        <v>44</v>
      </c>
      <c r="D8" s="22">
        <v>25.99</v>
      </c>
      <c r="E8" s="22">
        <v>1143.56</v>
      </c>
      <c r="F8" s="17" t="s">
        <v>68</v>
      </c>
      <c r="G8" s="16" t="s">
        <v>44</v>
      </c>
      <c r="H8" s="21" t="s">
        <v>40</v>
      </c>
      <c r="I8" s="16" t="s">
        <v>11</v>
      </c>
      <c r="J8" s="16" t="s">
        <v>28</v>
      </c>
      <c r="K8" s="16" t="s">
        <v>29</v>
      </c>
      <c r="L8" s="16"/>
      <c r="M8" s="16"/>
      <c r="N8" s="23" t="str">
        <f>HYPERLINK("http://slimages.macys.com/is/image/MCY/18574734 ")</f>
        <v xml:space="preserve">http://slimages.macys.com/is/image/MCY/18574734 </v>
      </c>
    </row>
    <row r="9" spans="1:14" x14ac:dyDescent="0.25">
      <c r="A9" s="21" t="s">
        <v>568</v>
      </c>
      <c r="B9" s="16" t="s">
        <v>569</v>
      </c>
      <c r="C9" s="17">
        <v>21</v>
      </c>
      <c r="D9" s="22">
        <v>25.99</v>
      </c>
      <c r="E9" s="22">
        <v>545.79</v>
      </c>
      <c r="F9" s="17" t="s">
        <v>68</v>
      </c>
      <c r="G9" s="16" t="s">
        <v>44</v>
      </c>
      <c r="H9" s="21" t="s">
        <v>47</v>
      </c>
      <c r="I9" s="16" t="s">
        <v>11</v>
      </c>
      <c r="J9" s="16" t="s">
        <v>28</v>
      </c>
      <c r="K9" s="16" t="s">
        <v>29</v>
      </c>
      <c r="L9" s="16"/>
      <c r="M9" s="16"/>
      <c r="N9" s="23" t="str">
        <f>HYPERLINK("http://slimages.macys.com/is/image/MCY/18574734 ")</f>
        <v xml:space="preserve">http://slimages.macys.com/is/image/MCY/18574734 </v>
      </c>
    </row>
    <row r="10" spans="1:14" x14ac:dyDescent="0.25">
      <c r="A10" s="21" t="s">
        <v>2842</v>
      </c>
      <c r="B10" s="16" t="s">
        <v>2843</v>
      </c>
      <c r="C10" s="17">
        <v>2</v>
      </c>
      <c r="D10" s="22">
        <v>58</v>
      </c>
      <c r="E10" s="22">
        <v>116</v>
      </c>
      <c r="F10" s="17">
        <v>900647</v>
      </c>
      <c r="G10" s="16" t="s">
        <v>488</v>
      </c>
      <c r="H10" s="21" t="s">
        <v>32</v>
      </c>
      <c r="I10" s="16" t="s">
        <v>11</v>
      </c>
      <c r="J10" s="16" t="s">
        <v>343</v>
      </c>
      <c r="K10" s="16" t="s">
        <v>354</v>
      </c>
      <c r="L10" s="16"/>
      <c r="M10" s="16"/>
      <c r="N10" s="23" t="str">
        <f>HYPERLINK("http://slimages.macys.com/is/image/MCY/19539364 ")</f>
        <v xml:space="preserve">http://slimages.macys.com/is/image/MCY/19539364 </v>
      </c>
    </row>
    <row r="11" spans="1:14" x14ac:dyDescent="0.25">
      <c r="A11" s="21" t="s">
        <v>1477</v>
      </c>
      <c r="B11" s="16" t="s">
        <v>1478</v>
      </c>
      <c r="C11" s="17">
        <v>6</v>
      </c>
      <c r="D11" s="22">
        <v>64</v>
      </c>
      <c r="E11" s="22">
        <v>384</v>
      </c>
      <c r="F11" s="17" t="s">
        <v>1248</v>
      </c>
      <c r="G11" s="16" t="s">
        <v>102</v>
      </c>
      <c r="H11" s="21" t="s">
        <v>32</v>
      </c>
      <c r="I11" s="16" t="s">
        <v>11</v>
      </c>
      <c r="J11" s="16" t="s">
        <v>343</v>
      </c>
      <c r="K11" s="16" t="s">
        <v>372</v>
      </c>
      <c r="L11" s="16"/>
      <c r="M11" s="16"/>
      <c r="N11" s="23" t="str">
        <f>HYPERLINK("http://slimages.macys.com/is/image/MCY/20341256 ")</f>
        <v xml:space="preserve">http://slimages.macys.com/is/image/MCY/20341256 </v>
      </c>
    </row>
    <row r="12" spans="1:14" x14ac:dyDescent="0.25">
      <c r="A12" s="21" t="s">
        <v>2844</v>
      </c>
      <c r="B12" s="16" t="s">
        <v>2845</v>
      </c>
      <c r="C12" s="17">
        <v>6</v>
      </c>
      <c r="D12" s="22">
        <v>64</v>
      </c>
      <c r="E12" s="22">
        <v>384</v>
      </c>
      <c r="F12" s="17" t="s">
        <v>1248</v>
      </c>
      <c r="G12" s="16" t="s">
        <v>102</v>
      </c>
      <c r="H12" s="21" t="s">
        <v>55</v>
      </c>
      <c r="I12" s="16" t="s">
        <v>11</v>
      </c>
      <c r="J12" s="16" t="s">
        <v>343</v>
      </c>
      <c r="K12" s="16" t="s">
        <v>372</v>
      </c>
      <c r="L12" s="16"/>
      <c r="M12" s="16"/>
      <c r="N12" s="23" t="str">
        <f>HYPERLINK("http://slimages.macys.com/is/image/MCY/20341256 ")</f>
        <v xml:space="preserve">http://slimages.macys.com/is/image/MCY/20341256 </v>
      </c>
    </row>
    <row r="13" spans="1:14" x14ac:dyDescent="0.25">
      <c r="A13" s="21" t="s">
        <v>1643</v>
      </c>
      <c r="B13" s="16" t="s">
        <v>1644</v>
      </c>
      <c r="C13" s="17">
        <v>1</v>
      </c>
      <c r="D13" s="22">
        <v>14.3</v>
      </c>
      <c r="E13" s="22">
        <v>14.3</v>
      </c>
      <c r="F13" s="17" t="s">
        <v>1645</v>
      </c>
      <c r="G13" s="16" t="s">
        <v>140</v>
      </c>
      <c r="H13" s="21" t="s">
        <v>32</v>
      </c>
      <c r="I13" s="16" t="s">
        <v>11</v>
      </c>
      <c r="J13" s="16" t="s">
        <v>343</v>
      </c>
      <c r="K13" s="16" t="s">
        <v>379</v>
      </c>
      <c r="L13" s="16"/>
      <c r="M13" s="16"/>
      <c r="N13" s="23" t="str">
        <f>HYPERLINK("http://slimages.macys.com/is/image/MCY/20120359 ")</f>
        <v xml:space="preserve">http://slimages.macys.com/is/image/MCY/20120359 </v>
      </c>
    </row>
    <row r="14" spans="1:14" x14ac:dyDescent="0.25">
      <c r="A14" s="21" t="s">
        <v>1646</v>
      </c>
      <c r="B14" s="16" t="s">
        <v>1647</v>
      </c>
      <c r="C14" s="17">
        <v>15</v>
      </c>
      <c r="D14" s="22">
        <v>14.3</v>
      </c>
      <c r="E14" s="22">
        <v>214.5</v>
      </c>
      <c r="F14" s="17" t="s">
        <v>1645</v>
      </c>
      <c r="G14" s="16" t="s">
        <v>140</v>
      </c>
      <c r="H14" s="21" t="s">
        <v>40</v>
      </c>
      <c r="I14" s="16" t="s">
        <v>11</v>
      </c>
      <c r="J14" s="16" t="s">
        <v>343</v>
      </c>
      <c r="K14" s="16" t="s">
        <v>379</v>
      </c>
      <c r="L14" s="16"/>
      <c r="M14" s="16"/>
      <c r="N14" s="23" t="str">
        <f>HYPERLINK("http://slimages.macys.com/is/image/MCY/20120359 ")</f>
        <v xml:space="preserve">http://slimages.macys.com/is/image/MCY/20120359 </v>
      </c>
    </row>
    <row r="15" spans="1:14" x14ac:dyDescent="0.25">
      <c r="A15" s="21" t="s">
        <v>1637</v>
      </c>
      <c r="B15" s="16" t="s">
        <v>1638</v>
      </c>
      <c r="C15" s="17">
        <v>9</v>
      </c>
      <c r="D15" s="22">
        <v>14.3</v>
      </c>
      <c r="E15" s="22">
        <v>128.69999999999999</v>
      </c>
      <c r="F15" s="17" t="s">
        <v>1340</v>
      </c>
      <c r="G15" s="16" t="s">
        <v>102</v>
      </c>
      <c r="H15" s="21" t="s">
        <v>32</v>
      </c>
      <c r="I15" s="16" t="s">
        <v>11</v>
      </c>
      <c r="J15" s="16" t="s">
        <v>343</v>
      </c>
      <c r="K15" s="16" t="s">
        <v>379</v>
      </c>
      <c r="L15" s="16"/>
      <c r="M15" s="16"/>
      <c r="N15" s="23" t="str">
        <f>HYPERLINK("http://slimages.macys.com/is/image/MCY/20120079 ")</f>
        <v xml:space="preserve">http://slimages.macys.com/is/image/MCY/20120079 </v>
      </c>
    </row>
    <row r="16" spans="1:14" x14ac:dyDescent="0.25">
      <c r="A16" s="21" t="s">
        <v>1704</v>
      </c>
      <c r="B16" s="16" t="s">
        <v>2781</v>
      </c>
      <c r="C16" s="17">
        <v>7</v>
      </c>
      <c r="D16" s="22">
        <v>14.3</v>
      </c>
      <c r="E16" s="22">
        <v>100.1</v>
      </c>
      <c r="F16" s="17" t="s">
        <v>1340</v>
      </c>
      <c r="G16" s="16" t="s">
        <v>102</v>
      </c>
      <c r="H16" s="21" t="s">
        <v>40</v>
      </c>
      <c r="I16" s="16" t="s">
        <v>11</v>
      </c>
      <c r="J16" s="16" t="s">
        <v>343</v>
      </c>
      <c r="K16" s="16" t="s">
        <v>379</v>
      </c>
      <c r="L16" s="16"/>
      <c r="M16" s="16"/>
      <c r="N16" s="23" t="str">
        <f>HYPERLINK("http://slimages.macys.com/is/image/MCY/20120079 ")</f>
        <v xml:space="preserve">http://slimages.macys.com/is/image/MCY/20120079 </v>
      </c>
    </row>
    <row r="17" spans="1:14" x14ac:dyDescent="0.25">
      <c r="A17" s="21" t="s">
        <v>1568</v>
      </c>
      <c r="B17" s="16" t="s">
        <v>1569</v>
      </c>
      <c r="C17" s="17">
        <v>1</v>
      </c>
      <c r="D17" s="22">
        <v>14.3</v>
      </c>
      <c r="E17" s="22">
        <v>14.3</v>
      </c>
      <c r="F17" s="17" t="s">
        <v>1340</v>
      </c>
      <c r="G17" s="16" t="s">
        <v>102</v>
      </c>
      <c r="H17" s="21" t="s">
        <v>27</v>
      </c>
      <c r="I17" s="16" t="s">
        <v>11</v>
      </c>
      <c r="J17" s="16" t="s">
        <v>343</v>
      </c>
      <c r="K17" s="16" t="s">
        <v>379</v>
      </c>
      <c r="L17" s="16"/>
      <c r="M17" s="16"/>
      <c r="N17" s="23" t="str">
        <f>HYPERLINK("http://slimages.macys.com/is/image/MCY/20120079 ")</f>
        <v xml:space="preserve">http://slimages.macys.com/is/image/MCY/20120079 </v>
      </c>
    </row>
    <row r="18" spans="1:14" x14ac:dyDescent="0.25">
      <c r="A18" s="21" t="s">
        <v>1338</v>
      </c>
      <c r="B18" s="16" t="s">
        <v>1339</v>
      </c>
      <c r="C18" s="17">
        <v>2</v>
      </c>
      <c r="D18" s="22">
        <v>14.3</v>
      </c>
      <c r="E18" s="22">
        <v>28.6</v>
      </c>
      <c r="F18" s="17" t="s">
        <v>1340</v>
      </c>
      <c r="G18" s="16" t="s">
        <v>102</v>
      </c>
      <c r="H18" s="21" t="s">
        <v>40</v>
      </c>
      <c r="I18" s="16" t="s">
        <v>11</v>
      </c>
      <c r="J18" s="16" t="s">
        <v>343</v>
      </c>
      <c r="K18" s="16" t="s">
        <v>379</v>
      </c>
      <c r="L18" s="16"/>
      <c r="M18" s="16"/>
      <c r="N18" s="23" t="str">
        <f>HYPERLINK("http://slimages.macys.com/is/image/MCY/20120079 ")</f>
        <v xml:space="preserve">http://slimages.macys.com/is/image/MCY/20120079 </v>
      </c>
    </row>
    <row r="19" spans="1:14" x14ac:dyDescent="0.25">
      <c r="A19" s="21" t="s">
        <v>1049</v>
      </c>
      <c r="B19" s="16" t="s">
        <v>1050</v>
      </c>
      <c r="C19" s="17">
        <v>10</v>
      </c>
      <c r="D19" s="22">
        <v>14.3</v>
      </c>
      <c r="E19" s="22">
        <v>143</v>
      </c>
      <c r="F19" s="17" t="s">
        <v>1051</v>
      </c>
      <c r="G19" s="16" t="s">
        <v>31</v>
      </c>
      <c r="H19" s="21" t="s">
        <v>32</v>
      </c>
      <c r="I19" s="16" t="s">
        <v>11</v>
      </c>
      <c r="J19" s="16" t="s">
        <v>343</v>
      </c>
      <c r="K19" s="16" t="s">
        <v>379</v>
      </c>
      <c r="L19" s="16"/>
      <c r="M19" s="16"/>
      <c r="N19" s="23" t="str">
        <f t="shared" ref="N19:N36" si="0">HYPERLINK("http://slimages.macys.com/is/image/MCY/20120785 ")</f>
        <v xml:space="preserve">http://slimages.macys.com/is/image/MCY/20120785 </v>
      </c>
    </row>
    <row r="20" spans="1:14" x14ac:dyDescent="0.25">
      <c r="A20" s="21" t="s">
        <v>1337</v>
      </c>
      <c r="B20" s="16" t="s">
        <v>1055</v>
      </c>
      <c r="C20" s="17">
        <v>24</v>
      </c>
      <c r="D20" s="22">
        <v>14.3</v>
      </c>
      <c r="E20" s="22">
        <v>343.2</v>
      </c>
      <c r="F20" s="17" t="s">
        <v>1051</v>
      </c>
      <c r="G20" s="16" t="s">
        <v>31</v>
      </c>
      <c r="H20" s="21" t="s">
        <v>40</v>
      </c>
      <c r="I20" s="16" t="s">
        <v>11</v>
      </c>
      <c r="J20" s="16" t="s">
        <v>343</v>
      </c>
      <c r="K20" s="16" t="s">
        <v>379</v>
      </c>
      <c r="L20" s="16"/>
      <c r="M20" s="16"/>
      <c r="N20" s="23" t="str">
        <f t="shared" si="0"/>
        <v xml:space="preserve">http://slimages.macys.com/is/image/MCY/20120785 </v>
      </c>
    </row>
    <row r="21" spans="1:14" x14ac:dyDescent="0.25">
      <c r="A21" s="21" t="s">
        <v>1562</v>
      </c>
      <c r="B21" s="16" t="s">
        <v>1563</v>
      </c>
      <c r="C21" s="17">
        <v>10</v>
      </c>
      <c r="D21" s="22">
        <v>14.3</v>
      </c>
      <c r="E21" s="22">
        <v>143</v>
      </c>
      <c r="F21" s="17" t="s">
        <v>1051</v>
      </c>
      <c r="G21" s="16" t="s">
        <v>31</v>
      </c>
      <c r="H21" s="21" t="s">
        <v>55</v>
      </c>
      <c r="I21" s="16" t="s">
        <v>11</v>
      </c>
      <c r="J21" s="16" t="s">
        <v>343</v>
      </c>
      <c r="K21" s="16" t="s">
        <v>379</v>
      </c>
      <c r="L21" s="16"/>
      <c r="M21" s="16"/>
      <c r="N21" s="23" t="str">
        <f t="shared" si="0"/>
        <v xml:space="preserve">http://slimages.macys.com/is/image/MCY/20120785 </v>
      </c>
    </row>
    <row r="22" spans="1:14" x14ac:dyDescent="0.25">
      <c r="A22" s="21" t="s">
        <v>2651</v>
      </c>
      <c r="B22" s="16" t="s">
        <v>2652</v>
      </c>
      <c r="C22" s="17">
        <v>1</v>
      </c>
      <c r="D22" s="22">
        <v>14.3</v>
      </c>
      <c r="E22" s="22">
        <v>14.3</v>
      </c>
      <c r="F22" s="17" t="s">
        <v>1051</v>
      </c>
      <c r="G22" s="16" t="s">
        <v>31</v>
      </c>
      <c r="H22" s="21" t="s">
        <v>27</v>
      </c>
      <c r="I22" s="16" t="s">
        <v>11</v>
      </c>
      <c r="J22" s="16" t="s">
        <v>343</v>
      </c>
      <c r="K22" s="16" t="s">
        <v>379</v>
      </c>
      <c r="L22" s="16"/>
      <c r="M22" s="16"/>
      <c r="N22" s="23" t="str">
        <f t="shared" si="0"/>
        <v xml:space="preserve">http://slimages.macys.com/is/image/MCY/20120785 </v>
      </c>
    </row>
    <row r="23" spans="1:14" x14ac:dyDescent="0.25">
      <c r="A23" s="21" t="s">
        <v>1649</v>
      </c>
      <c r="B23" s="16" t="s">
        <v>1650</v>
      </c>
      <c r="C23" s="17">
        <v>18</v>
      </c>
      <c r="D23" s="22">
        <v>14.3</v>
      </c>
      <c r="E23" s="22">
        <v>257.39999999999998</v>
      </c>
      <c r="F23" s="17" t="s">
        <v>1051</v>
      </c>
      <c r="G23" s="16" t="s">
        <v>124</v>
      </c>
      <c r="H23" s="21" t="s">
        <v>32</v>
      </c>
      <c r="I23" s="16" t="s">
        <v>11</v>
      </c>
      <c r="J23" s="16" t="s">
        <v>343</v>
      </c>
      <c r="K23" s="16" t="s">
        <v>379</v>
      </c>
      <c r="L23" s="16"/>
      <c r="M23" s="16"/>
      <c r="N23" s="23" t="str">
        <f t="shared" si="0"/>
        <v xml:space="preserve">http://slimages.macys.com/is/image/MCY/20120785 </v>
      </c>
    </row>
    <row r="24" spans="1:14" x14ac:dyDescent="0.25">
      <c r="A24" s="21" t="s">
        <v>1335</v>
      </c>
      <c r="B24" s="16" t="s">
        <v>1336</v>
      </c>
      <c r="C24" s="17">
        <v>16</v>
      </c>
      <c r="D24" s="22">
        <v>14.3</v>
      </c>
      <c r="E24" s="22">
        <v>228.8</v>
      </c>
      <c r="F24" s="17" t="s">
        <v>1051</v>
      </c>
      <c r="G24" s="16" t="s">
        <v>124</v>
      </c>
      <c r="H24" s="21" t="s">
        <v>40</v>
      </c>
      <c r="I24" s="16" t="s">
        <v>11</v>
      </c>
      <c r="J24" s="16" t="s">
        <v>343</v>
      </c>
      <c r="K24" s="16" t="s">
        <v>379</v>
      </c>
      <c r="L24" s="16"/>
      <c r="M24" s="16"/>
      <c r="N24" s="23" t="str">
        <f t="shared" si="0"/>
        <v xml:space="preserve">http://slimages.macys.com/is/image/MCY/20120785 </v>
      </c>
    </row>
    <row r="25" spans="1:14" x14ac:dyDescent="0.25">
      <c r="A25" s="21" t="s">
        <v>1341</v>
      </c>
      <c r="B25" s="16" t="s">
        <v>1342</v>
      </c>
      <c r="C25" s="17">
        <v>11</v>
      </c>
      <c r="D25" s="22">
        <v>14.3</v>
      </c>
      <c r="E25" s="22">
        <v>157.30000000000001</v>
      </c>
      <c r="F25" s="17" t="s">
        <v>1051</v>
      </c>
      <c r="G25" s="16" t="s">
        <v>124</v>
      </c>
      <c r="H25" s="21" t="s">
        <v>55</v>
      </c>
      <c r="I25" s="16" t="s">
        <v>11</v>
      </c>
      <c r="J25" s="16" t="s">
        <v>343</v>
      </c>
      <c r="K25" s="16" t="s">
        <v>379</v>
      </c>
      <c r="L25" s="16"/>
      <c r="M25" s="16"/>
      <c r="N25" s="23" t="str">
        <f t="shared" si="0"/>
        <v xml:space="preserve">http://slimages.macys.com/is/image/MCY/20120785 </v>
      </c>
    </row>
    <row r="26" spans="1:14" x14ac:dyDescent="0.25">
      <c r="A26" s="21" t="s">
        <v>1343</v>
      </c>
      <c r="B26" s="16" t="s">
        <v>1344</v>
      </c>
      <c r="C26" s="17">
        <v>11</v>
      </c>
      <c r="D26" s="22">
        <v>14.3</v>
      </c>
      <c r="E26" s="22">
        <v>157.30000000000001</v>
      </c>
      <c r="F26" s="17" t="s">
        <v>1051</v>
      </c>
      <c r="G26" s="16" t="s">
        <v>124</v>
      </c>
      <c r="H26" s="21" t="s">
        <v>27</v>
      </c>
      <c r="I26" s="16" t="s">
        <v>11</v>
      </c>
      <c r="J26" s="16" t="s">
        <v>343</v>
      </c>
      <c r="K26" s="16" t="s">
        <v>379</v>
      </c>
      <c r="L26" s="16"/>
      <c r="M26" s="16"/>
      <c r="N26" s="23" t="str">
        <f t="shared" si="0"/>
        <v xml:space="preserve">http://slimages.macys.com/is/image/MCY/20120785 </v>
      </c>
    </row>
    <row r="27" spans="1:14" x14ac:dyDescent="0.25">
      <c r="A27" s="21" t="s">
        <v>1635</v>
      </c>
      <c r="B27" s="16" t="s">
        <v>1636</v>
      </c>
      <c r="C27" s="17">
        <v>9</v>
      </c>
      <c r="D27" s="22">
        <v>14.3</v>
      </c>
      <c r="E27" s="22">
        <v>128.69999999999999</v>
      </c>
      <c r="F27" s="17" t="s">
        <v>1051</v>
      </c>
      <c r="G27" s="16" t="s">
        <v>82</v>
      </c>
      <c r="H27" s="21" t="s">
        <v>32</v>
      </c>
      <c r="I27" s="16" t="s">
        <v>11</v>
      </c>
      <c r="J27" s="16" t="s">
        <v>343</v>
      </c>
      <c r="K27" s="16" t="s">
        <v>379</v>
      </c>
      <c r="L27" s="16"/>
      <c r="M27" s="16"/>
      <c r="N27" s="23" t="str">
        <f t="shared" si="0"/>
        <v xml:space="preserve">http://slimages.macys.com/is/image/MCY/20120785 </v>
      </c>
    </row>
    <row r="28" spans="1:14" x14ac:dyDescent="0.25">
      <c r="A28" s="21" t="s">
        <v>1347</v>
      </c>
      <c r="B28" s="16" t="s">
        <v>1348</v>
      </c>
      <c r="C28" s="17">
        <v>7</v>
      </c>
      <c r="D28" s="22">
        <v>14.3</v>
      </c>
      <c r="E28" s="22">
        <v>100.1</v>
      </c>
      <c r="F28" s="17" t="s">
        <v>1051</v>
      </c>
      <c r="G28" s="16" t="s">
        <v>82</v>
      </c>
      <c r="H28" s="21" t="s">
        <v>40</v>
      </c>
      <c r="I28" s="16" t="s">
        <v>11</v>
      </c>
      <c r="J28" s="16" t="s">
        <v>343</v>
      </c>
      <c r="K28" s="16" t="s">
        <v>379</v>
      </c>
      <c r="L28" s="16"/>
      <c r="M28" s="16"/>
      <c r="N28" s="23" t="str">
        <f t="shared" si="0"/>
        <v xml:space="preserve">http://slimages.macys.com/is/image/MCY/20120785 </v>
      </c>
    </row>
    <row r="29" spans="1:14" x14ac:dyDescent="0.25">
      <c r="A29" s="21" t="s">
        <v>1639</v>
      </c>
      <c r="B29" s="16" t="s">
        <v>1640</v>
      </c>
      <c r="C29" s="17">
        <v>1</v>
      </c>
      <c r="D29" s="22">
        <v>14.3</v>
      </c>
      <c r="E29" s="22">
        <v>14.3</v>
      </c>
      <c r="F29" s="17" t="s">
        <v>1051</v>
      </c>
      <c r="G29" s="16" t="s">
        <v>82</v>
      </c>
      <c r="H29" s="21" t="s">
        <v>55</v>
      </c>
      <c r="I29" s="16" t="s">
        <v>11</v>
      </c>
      <c r="J29" s="16" t="s">
        <v>343</v>
      </c>
      <c r="K29" s="16" t="s">
        <v>379</v>
      </c>
      <c r="L29" s="16"/>
      <c r="M29" s="16"/>
      <c r="N29" s="23" t="str">
        <f t="shared" si="0"/>
        <v xml:space="preserve">http://slimages.macys.com/is/image/MCY/20120785 </v>
      </c>
    </row>
    <row r="30" spans="1:14" x14ac:dyDescent="0.25">
      <c r="A30" s="21" t="s">
        <v>1560</v>
      </c>
      <c r="B30" s="16" t="s">
        <v>1561</v>
      </c>
      <c r="C30" s="17">
        <v>1</v>
      </c>
      <c r="D30" s="22">
        <v>14.3</v>
      </c>
      <c r="E30" s="22">
        <v>14.3</v>
      </c>
      <c r="F30" s="17" t="s">
        <v>1051</v>
      </c>
      <c r="G30" s="16" t="s">
        <v>82</v>
      </c>
      <c r="H30" s="21" t="s">
        <v>27</v>
      </c>
      <c r="I30" s="16" t="s">
        <v>11</v>
      </c>
      <c r="J30" s="16" t="s">
        <v>343</v>
      </c>
      <c r="K30" s="16" t="s">
        <v>379</v>
      </c>
      <c r="L30" s="16"/>
      <c r="M30" s="16"/>
      <c r="N30" s="23" t="str">
        <f t="shared" si="0"/>
        <v xml:space="preserve">http://slimages.macys.com/is/image/MCY/20120785 </v>
      </c>
    </row>
    <row r="31" spans="1:14" x14ac:dyDescent="0.25">
      <c r="A31" s="21" t="s">
        <v>1345</v>
      </c>
      <c r="B31" s="16" t="s">
        <v>1346</v>
      </c>
      <c r="C31" s="17">
        <v>8</v>
      </c>
      <c r="D31" s="22">
        <v>14.3</v>
      </c>
      <c r="E31" s="22">
        <v>114.4</v>
      </c>
      <c r="F31" s="17" t="s">
        <v>1056</v>
      </c>
      <c r="G31" s="16" t="s">
        <v>31</v>
      </c>
      <c r="H31" s="21" t="s">
        <v>32</v>
      </c>
      <c r="I31" s="16" t="s">
        <v>11</v>
      </c>
      <c r="J31" s="16" t="s">
        <v>343</v>
      </c>
      <c r="K31" s="16" t="s">
        <v>379</v>
      </c>
      <c r="L31" s="16"/>
      <c r="M31" s="16"/>
      <c r="N31" s="23" t="str">
        <f t="shared" si="0"/>
        <v xml:space="preserve">http://slimages.macys.com/is/image/MCY/20120785 </v>
      </c>
    </row>
    <row r="32" spans="1:14" x14ac:dyDescent="0.25">
      <c r="A32" s="21" t="s">
        <v>1333</v>
      </c>
      <c r="B32" s="16" t="s">
        <v>1334</v>
      </c>
      <c r="C32" s="17">
        <v>12</v>
      </c>
      <c r="D32" s="22">
        <v>14.3</v>
      </c>
      <c r="E32" s="22">
        <v>171.6</v>
      </c>
      <c r="F32" s="17" t="s">
        <v>1056</v>
      </c>
      <c r="G32" s="16" t="s">
        <v>31</v>
      </c>
      <c r="H32" s="21" t="s">
        <v>40</v>
      </c>
      <c r="I32" s="16" t="s">
        <v>11</v>
      </c>
      <c r="J32" s="16" t="s">
        <v>343</v>
      </c>
      <c r="K32" s="16" t="s">
        <v>379</v>
      </c>
      <c r="L32" s="16"/>
      <c r="M32" s="16"/>
      <c r="N32" s="23" t="str">
        <f t="shared" si="0"/>
        <v xml:space="preserve">http://slimages.macys.com/is/image/MCY/20120785 </v>
      </c>
    </row>
    <row r="33" spans="1:14" x14ac:dyDescent="0.25">
      <c r="A33" s="21" t="s">
        <v>1641</v>
      </c>
      <c r="B33" s="16" t="s">
        <v>1642</v>
      </c>
      <c r="C33" s="17">
        <v>2</v>
      </c>
      <c r="D33" s="22">
        <v>14.3</v>
      </c>
      <c r="E33" s="22">
        <v>28.6</v>
      </c>
      <c r="F33" s="17" t="s">
        <v>1056</v>
      </c>
      <c r="G33" s="16" t="s">
        <v>31</v>
      </c>
      <c r="H33" s="21" t="s">
        <v>55</v>
      </c>
      <c r="I33" s="16" t="s">
        <v>11</v>
      </c>
      <c r="J33" s="16" t="s">
        <v>343</v>
      </c>
      <c r="K33" s="16" t="s">
        <v>379</v>
      </c>
      <c r="L33" s="16"/>
      <c r="M33" s="16"/>
      <c r="N33" s="23" t="str">
        <f t="shared" si="0"/>
        <v xml:space="preserve">http://slimages.macys.com/is/image/MCY/20120785 </v>
      </c>
    </row>
    <row r="34" spans="1:14" x14ac:dyDescent="0.25">
      <c r="A34" s="21" t="s">
        <v>1052</v>
      </c>
      <c r="B34" s="16" t="s">
        <v>1053</v>
      </c>
      <c r="C34" s="17">
        <v>65</v>
      </c>
      <c r="D34" s="22">
        <v>14.3</v>
      </c>
      <c r="E34" s="22">
        <v>929.5</v>
      </c>
      <c r="F34" s="17" t="s">
        <v>1051</v>
      </c>
      <c r="G34" s="16" t="s">
        <v>62</v>
      </c>
      <c r="H34" s="21" t="s">
        <v>32</v>
      </c>
      <c r="I34" s="16" t="s">
        <v>11</v>
      </c>
      <c r="J34" s="16" t="s">
        <v>343</v>
      </c>
      <c r="K34" s="16" t="s">
        <v>379</v>
      </c>
      <c r="L34" s="16"/>
      <c r="M34" s="16"/>
      <c r="N34" s="23" t="str">
        <f t="shared" si="0"/>
        <v xml:space="preserve">http://slimages.macys.com/is/image/MCY/20120785 </v>
      </c>
    </row>
    <row r="35" spans="1:14" x14ac:dyDescent="0.25">
      <c r="A35" s="21" t="s">
        <v>1331</v>
      </c>
      <c r="B35" s="16" t="s">
        <v>1332</v>
      </c>
      <c r="C35" s="17">
        <v>58</v>
      </c>
      <c r="D35" s="22">
        <v>14.3</v>
      </c>
      <c r="E35" s="22">
        <v>829.4</v>
      </c>
      <c r="F35" s="17" t="s">
        <v>1051</v>
      </c>
      <c r="G35" s="16" t="s">
        <v>62</v>
      </c>
      <c r="H35" s="21" t="s">
        <v>40</v>
      </c>
      <c r="I35" s="16" t="s">
        <v>11</v>
      </c>
      <c r="J35" s="16" t="s">
        <v>343</v>
      </c>
      <c r="K35" s="16" t="s">
        <v>379</v>
      </c>
      <c r="L35" s="16"/>
      <c r="M35" s="16"/>
      <c r="N35" s="23" t="str">
        <f t="shared" si="0"/>
        <v xml:space="preserve">http://slimages.macys.com/is/image/MCY/20120785 </v>
      </c>
    </row>
    <row r="36" spans="1:14" x14ac:dyDescent="0.25">
      <c r="A36" s="21" t="s">
        <v>1552</v>
      </c>
      <c r="B36" s="16" t="s">
        <v>1553</v>
      </c>
      <c r="C36" s="17">
        <v>16</v>
      </c>
      <c r="D36" s="22">
        <v>14.3</v>
      </c>
      <c r="E36" s="22">
        <v>228.8</v>
      </c>
      <c r="F36" s="17" t="s">
        <v>1051</v>
      </c>
      <c r="G36" s="16" t="s">
        <v>62</v>
      </c>
      <c r="H36" s="21" t="s">
        <v>55</v>
      </c>
      <c r="I36" s="16" t="s">
        <v>11</v>
      </c>
      <c r="J36" s="16" t="s">
        <v>343</v>
      </c>
      <c r="K36" s="16" t="s">
        <v>379</v>
      </c>
      <c r="L36" s="16"/>
      <c r="M36" s="16"/>
      <c r="N36" s="23" t="str">
        <f t="shared" si="0"/>
        <v xml:space="preserve">http://slimages.macys.com/is/image/MCY/20120785 </v>
      </c>
    </row>
    <row r="37" spans="1:14" x14ac:dyDescent="0.25">
      <c r="A37" s="21" t="s">
        <v>1446</v>
      </c>
      <c r="B37" s="16" t="s">
        <v>1447</v>
      </c>
      <c r="C37" s="17">
        <v>12</v>
      </c>
      <c r="D37" s="22">
        <v>32.99</v>
      </c>
      <c r="E37" s="22">
        <v>395.88</v>
      </c>
      <c r="F37" s="17" t="s">
        <v>1448</v>
      </c>
      <c r="G37" s="16" t="s">
        <v>174</v>
      </c>
      <c r="H37" s="21" t="s">
        <v>55</v>
      </c>
      <c r="I37" s="16" t="s">
        <v>11</v>
      </c>
      <c r="J37" s="16" t="s">
        <v>266</v>
      </c>
      <c r="K37" s="16" t="s">
        <v>267</v>
      </c>
      <c r="L37" s="16"/>
      <c r="M37" s="16"/>
      <c r="N37" s="23" t="str">
        <f>HYPERLINK("http://slimages.macys.com/is/image/MCY/19287187 ")</f>
        <v xml:space="preserve">http://slimages.macys.com/is/image/MCY/19287187 </v>
      </c>
    </row>
    <row r="38" spans="1:14" x14ac:dyDescent="0.25">
      <c r="A38" s="21" t="s">
        <v>1225</v>
      </c>
      <c r="B38" s="16" t="s">
        <v>1226</v>
      </c>
      <c r="C38" s="17">
        <v>9</v>
      </c>
      <c r="D38" s="22">
        <v>37.99</v>
      </c>
      <c r="E38" s="22">
        <v>341.91</v>
      </c>
      <c r="F38" s="17" t="s">
        <v>1222</v>
      </c>
      <c r="G38" s="16" t="s">
        <v>189</v>
      </c>
      <c r="H38" s="21" t="s">
        <v>40</v>
      </c>
      <c r="I38" s="16" t="s">
        <v>11</v>
      </c>
      <c r="J38" s="16" t="s">
        <v>266</v>
      </c>
      <c r="K38" s="16" t="s">
        <v>267</v>
      </c>
      <c r="L38" s="16"/>
      <c r="M38" s="16"/>
      <c r="N38" s="23" t="str">
        <f>HYPERLINK("http://slimages.macys.com/is/image/MCY/21080160 ")</f>
        <v xml:space="preserve">http://slimages.macys.com/is/image/MCY/21080160 </v>
      </c>
    </row>
    <row r="39" spans="1:14" x14ac:dyDescent="0.25">
      <c r="A39" s="21" t="s">
        <v>1205</v>
      </c>
      <c r="B39" s="16" t="s">
        <v>1206</v>
      </c>
      <c r="C39" s="17">
        <v>8</v>
      </c>
      <c r="D39" s="22">
        <v>23.99</v>
      </c>
      <c r="E39" s="22">
        <v>191.92</v>
      </c>
      <c r="F39" s="17" t="s">
        <v>1207</v>
      </c>
      <c r="G39" s="16" t="s">
        <v>83</v>
      </c>
      <c r="H39" s="21" t="s">
        <v>47</v>
      </c>
      <c r="I39" s="16" t="s">
        <v>11</v>
      </c>
      <c r="J39" s="16" t="s">
        <v>266</v>
      </c>
      <c r="K39" s="16" t="s">
        <v>267</v>
      </c>
      <c r="L39" s="16"/>
      <c r="M39" s="16"/>
      <c r="N39" s="23" t="str">
        <f>HYPERLINK("http://slimages.macys.com/is/image/MCY/18531891 ")</f>
        <v xml:space="preserve">http://slimages.macys.com/is/image/MCY/18531891 </v>
      </c>
    </row>
    <row r="40" spans="1:14" x14ac:dyDescent="0.25">
      <c r="A40" s="21" t="s">
        <v>1388</v>
      </c>
      <c r="B40" s="16" t="s">
        <v>1389</v>
      </c>
      <c r="C40" s="17">
        <v>9</v>
      </c>
      <c r="D40" s="22">
        <v>26.6</v>
      </c>
      <c r="E40" s="22">
        <v>239.4</v>
      </c>
      <c r="F40" s="17">
        <v>16678</v>
      </c>
      <c r="G40" s="16" t="s">
        <v>378</v>
      </c>
      <c r="H40" s="21" t="s">
        <v>27</v>
      </c>
      <c r="I40" s="16" t="s">
        <v>11</v>
      </c>
      <c r="J40" s="16" t="s">
        <v>539</v>
      </c>
      <c r="K40" s="16" t="s">
        <v>889</v>
      </c>
      <c r="L40" s="16"/>
      <c r="M40" s="16"/>
      <c r="N40" s="23" t="str">
        <f>HYPERLINK("http://slimages.macys.com/is/image/MCY/19584981 ")</f>
        <v xml:space="preserve">http://slimages.macys.com/is/image/MCY/19584981 </v>
      </c>
    </row>
    <row r="41" spans="1:14" x14ac:dyDescent="0.25">
      <c r="A41" s="21" t="s">
        <v>2838</v>
      </c>
      <c r="B41" s="16" t="s">
        <v>2839</v>
      </c>
      <c r="C41" s="17">
        <v>7</v>
      </c>
      <c r="D41" s="22">
        <v>25.2</v>
      </c>
      <c r="E41" s="22">
        <v>176.4</v>
      </c>
      <c r="F41" s="17">
        <v>16841</v>
      </c>
      <c r="G41" s="16" t="s">
        <v>484</v>
      </c>
      <c r="H41" s="21"/>
      <c r="I41" s="16" t="s">
        <v>11</v>
      </c>
      <c r="J41" s="16" t="s">
        <v>539</v>
      </c>
      <c r="K41" s="16" t="s">
        <v>889</v>
      </c>
      <c r="L41" s="16"/>
      <c r="M41" s="16"/>
      <c r="N41" s="23" t="str">
        <f>HYPERLINK("http://slimages.macys.com/is/image/MCY/20353960 ")</f>
        <v xml:space="preserve">http://slimages.macys.com/is/image/MCY/20353960 </v>
      </c>
    </row>
    <row r="42" spans="1:14" x14ac:dyDescent="0.25">
      <c r="A42" s="21" t="s">
        <v>1764</v>
      </c>
      <c r="B42" s="16" t="s">
        <v>1765</v>
      </c>
      <c r="C42" s="17">
        <v>10</v>
      </c>
      <c r="D42" s="22">
        <v>28.8</v>
      </c>
      <c r="E42" s="22">
        <v>288</v>
      </c>
      <c r="F42" s="17" t="s">
        <v>1297</v>
      </c>
      <c r="G42" s="16" t="s">
        <v>378</v>
      </c>
      <c r="H42" s="21" t="s">
        <v>32</v>
      </c>
      <c r="I42" s="16" t="s">
        <v>11</v>
      </c>
      <c r="J42" s="16" t="s">
        <v>343</v>
      </c>
      <c r="K42" s="16" t="s">
        <v>393</v>
      </c>
      <c r="L42" s="16"/>
      <c r="M42" s="16"/>
      <c r="N42" s="23" t="str">
        <f>HYPERLINK("http://slimages.macys.com/is/image/MCY/20576871 ")</f>
        <v xml:space="preserve">http://slimages.macys.com/is/image/MCY/20576871 </v>
      </c>
    </row>
    <row r="43" spans="1:14" x14ac:dyDescent="0.25">
      <c r="A43" s="21" t="s">
        <v>1630</v>
      </c>
      <c r="B43" s="16" t="s">
        <v>1631</v>
      </c>
      <c r="C43" s="17">
        <v>5</v>
      </c>
      <c r="D43" s="22">
        <v>28.8</v>
      </c>
      <c r="E43" s="22">
        <v>144</v>
      </c>
      <c r="F43" s="17" t="s">
        <v>1297</v>
      </c>
      <c r="G43" s="16" t="s">
        <v>140</v>
      </c>
      <c r="H43" s="21" t="s">
        <v>32</v>
      </c>
      <c r="I43" s="16" t="s">
        <v>11</v>
      </c>
      <c r="J43" s="16" t="s">
        <v>343</v>
      </c>
      <c r="K43" s="16" t="s">
        <v>393</v>
      </c>
      <c r="L43" s="16"/>
      <c r="M43" s="16"/>
      <c r="N43" s="23" t="str">
        <f>HYPERLINK("http://slimages.macys.com/is/image/MCY/20576871 ")</f>
        <v xml:space="preserve">http://slimages.macys.com/is/image/MCY/20576871 </v>
      </c>
    </row>
    <row r="44" spans="1:14" x14ac:dyDescent="0.25">
      <c r="A44" s="21" t="s">
        <v>1526</v>
      </c>
      <c r="B44" s="16" t="s">
        <v>1527</v>
      </c>
      <c r="C44" s="17">
        <v>4</v>
      </c>
      <c r="D44" s="22">
        <v>28.8</v>
      </c>
      <c r="E44" s="22">
        <v>115.2</v>
      </c>
      <c r="F44" s="17" t="s">
        <v>1297</v>
      </c>
      <c r="G44" s="16" t="s">
        <v>140</v>
      </c>
      <c r="H44" s="21" t="s">
        <v>40</v>
      </c>
      <c r="I44" s="16" t="s">
        <v>11</v>
      </c>
      <c r="J44" s="16" t="s">
        <v>343</v>
      </c>
      <c r="K44" s="16" t="s">
        <v>393</v>
      </c>
      <c r="L44" s="16"/>
      <c r="M44" s="16"/>
      <c r="N44" s="23" t="str">
        <f>HYPERLINK("http://slimages.macys.com/is/image/MCY/20576871 ")</f>
        <v xml:space="preserve">http://slimages.macys.com/is/image/MCY/20576871 </v>
      </c>
    </row>
    <row r="45" spans="1:14" x14ac:dyDescent="0.25">
      <c r="A45" s="21" t="s">
        <v>1524</v>
      </c>
      <c r="B45" s="16" t="s">
        <v>1525</v>
      </c>
      <c r="C45" s="17">
        <v>16</v>
      </c>
      <c r="D45" s="22">
        <v>28.8</v>
      </c>
      <c r="E45" s="22">
        <v>460.8</v>
      </c>
      <c r="F45" s="17" t="s">
        <v>1297</v>
      </c>
      <c r="G45" s="16" t="s">
        <v>135</v>
      </c>
      <c r="H45" s="21" t="s">
        <v>40</v>
      </c>
      <c r="I45" s="16" t="s">
        <v>11</v>
      </c>
      <c r="J45" s="16" t="s">
        <v>343</v>
      </c>
      <c r="K45" s="16" t="s">
        <v>393</v>
      </c>
      <c r="L45" s="16"/>
      <c r="M45" s="16"/>
      <c r="N45" s="23" t="str">
        <f>HYPERLINK("http://slimages.macys.com/is/image/MCY/20576871 ")</f>
        <v xml:space="preserve">http://slimages.macys.com/is/image/MCY/20576871 </v>
      </c>
    </row>
    <row r="46" spans="1:14" x14ac:dyDescent="0.25">
      <c r="A46" s="21" t="s">
        <v>2775</v>
      </c>
      <c r="B46" s="16" t="s">
        <v>2776</v>
      </c>
      <c r="C46" s="17">
        <v>8</v>
      </c>
      <c r="D46" s="22">
        <v>27</v>
      </c>
      <c r="E46" s="22">
        <v>216</v>
      </c>
      <c r="F46" s="17" t="s">
        <v>2570</v>
      </c>
      <c r="G46" s="16" t="s">
        <v>963</v>
      </c>
      <c r="H46" s="21" t="s">
        <v>149</v>
      </c>
      <c r="I46" s="16" t="s">
        <v>11</v>
      </c>
      <c r="J46" s="16" t="s">
        <v>343</v>
      </c>
      <c r="K46" s="16" t="s">
        <v>393</v>
      </c>
      <c r="L46" s="16"/>
      <c r="M46" s="16"/>
      <c r="N46" s="23" t="str">
        <f>HYPERLINK("http://slimages.macys.com/is/image/MCY/20069875 ")</f>
        <v xml:space="preserve">http://slimages.macys.com/is/image/MCY/20069875 </v>
      </c>
    </row>
    <row r="47" spans="1:14" x14ac:dyDescent="0.25">
      <c r="A47" s="21" t="s">
        <v>2773</v>
      </c>
      <c r="B47" s="16" t="s">
        <v>2774</v>
      </c>
      <c r="C47" s="17">
        <v>8</v>
      </c>
      <c r="D47" s="22">
        <v>48</v>
      </c>
      <c r="E47" s="22">
        <v>384</v>
      </c>
      <c r="F47" s="17" t="s">
        <v>2772</v>
      </c>
      <c r="G47" s="16" t="s">
        <v>31</v>
      </c>
      <c r="H47" s="21" t="s">
        <v>227</v>
      </c>
      <c r="I47" s="16" t="s">
        <v>11</v>
      </c>
      <c r="J47" s="16" t="s">
        <v>343</v>
      </c>
      <c r="K47" s="16" t="s">
        <v>1468</v>
      </c>
      <c r="L47" s="16"/>
      <c r="M47" s="16"/>
      <c r="N47" s="23" t="str">
        <f>HYPERLINK("http://slimages.macys.com/is/image/MCY/20742757 ")</f>
        <v xml:space="preserve">http://slimages.macys.com/is/image/MCY/20742757 </v>
      </c>
    </row>
    <row r="48" spans="1:14" x14ac:dyDescent="0.25">
      <c r="A48" s="21" t="s">
        <v>1299</v>
      </c>
      <c r="B48" s="16" t="s">
        <v>1300</v>
      </c>
      <c r="C48" s="17">
        <v>9</v>
      </c>
      <c r="D48" s="22">
        <v>25.2</v>
      </c>
      <c r="E48" s="22">
        <v>226.8</v>
      </c>
      <c r="F48" s="17" t="s">
        <v>1301</v>
      </c>
      <c r="G48" s="16" t="s">
        <v>135</v>
      </c>
      <c r="H48" s="21" t="s">
        <v>55</v>
      </c>
      <c r="I48" s="16" t="s">
        <v>11</v>
      </c>
      <c r="J48" s="16" t="s">
        <v>343</v>
      </c>
      <c r="K48" s="16" t="s">
        <v>379</v>
      </c>
      <c r="L48" s="16"/>
      <c r="M48" s="16"/>
      <c r="N48" s="23" t="str">
        <f>HYPERLINK("http://slimages.macys.com/is/image/MCY/20376290 ")</f>
        <v xml:space="preserve">http://slimages.macys.com/is/image/MCY/20376290 </v>
      </c>
    </row>
    <row r="49" spans="1:14" x14ac:dyDescent="0.25">
      <c r="A49" s="21" t="s">
        <v>1532</v>
      </c>
      <c r="B49" s="16" t="s">
        <v>1533</v>
      </c>
      <c r="C49" s="17">
        <v>3</v>
      </c>
      <c r="D49" s="22">
        <v>25.2</v>
      </c>
      <c r="E49" s="22">
        <v>75.599999999999994</v>
      </c>
      <c r="F49" s="17" t="s">
        <v>1301</v>
      </c>
      <c r="G49" s="16" t="s">
        <v>122</v>
      </c>
      <c r="H49" s="21" t="s">
        <v>27</v>
      </c>
      <c r="I49" s="16" t="s">
        <v>11</v>
      </c>
      <c r="J49" s="16" t="s">
        <v>343</v>
      </c>
      <c r="K49" s="16" t="s">
        <v>379</v>
      </c>
      <c r="L49" s="16"/>
      <c r="M49" s="16"/>
      <c r="N49" s="23" t="str">
        <f>HYPERLINK("http://slimages.macys.com/is/image/MCY/20376290 ")</f>
        <v xml:space="preserve">http://slimages.macys.com/is/image/MCY/20376290 </v>
      </c>
    </row>
    <row r="50" spans="1:14" x14ac:dyDescent="0.25">
      <c r="A50" s="21" t="s">
        <v>1304</v>
      </c>
      <c r="B50" s="16" t="s">
        <v>1305</v>
      </c>
      <c r="C50" s="17">
        <v>12</v>
      </c>
      <c r="D50" s="22">
        <v>36</v>
      </c>
      <c r="E50" s="22">
        <v>432</v>
      </c>
      <c r="F50" s="17" t="s">
        <v>1306</v>
      </c>
      <c r="G50" s="16" t="s">
        <v>31</v>
      </c>
      <c r="H50" s="21" t="s">
        <v>32</v>
      </c>
      <c r="I50" s="16" t="s">
        <v>11</v>
      </c>
      <c r="J50" s="16" t="s">
        <v>343</v>
      </c>
      <c r="K50" s="16" t="s">
        <v>379</v>
      </c>
      <c r="L50" s="16"/>
      <c r="M50" s="16"/>
      <c r="N50" s="23" t="str">
        <f t="shared" ref="N50:N62" si="1">HYPERLINK("http://slimages.macys.com/is/image/MCY/19626293 ")</f>
        <v xml:space="preserve">http://slimages.macys.com/is/image/MCY/19626293 </v>
      </c>
    </row>
    <row r="51" spans="1:14" x14ac:dyDescent="0.25">
      <c r="A51" s="21" t="s">
        <v>1327</v>
      </c>
      <c r="B51" s="16" t="s">
        <v>1328</v>
      </c>
      <c r="C51" s="17">
        <v>12</v>
      </c>
      <c r="D51" s="22">
        <v>36</v>
      </c>
      <c r="E51" s="22">
        <v>432</v>
      </c>
      <c r="F51" s="17" t="s">
        <v>1306</v>
      </c>
      <c r="G51" s="16" t="s">
        <v>31</v>
      </c>
      <c r="H51" s="21" t="s">
        <v>40</v>
      </c>
      <c r="I51" s="16" t="s">
        <v>11</v>
      </c>
      <c r="J51" s="16" t="s">
        <v>343</v>
      </c>
      <c r="K51" s="16" t="s">
        <v>379</v>
      </c>
      <c r="L51" s="16"/>
      <c r="M51" s="16"/>
      <c r="N51" s="23" t="str">
        <f t="shared" si="1"/>
        <v xml:space="preserve">http://slimages.macys.com/is/image/MCY/19626293 </v>
      </c>
    </row>
    <row r="52" spans="1:14" x14ac:dyDescent="0.25">
      <c r="A52" s="21" t="s">
        <v>1544</v>
      </c>
      <c r="B52" s="16" t="s">
        <v>1545</v>
      </c>
      <c r="C52" s="17">
        <v>9</v>
      </c>
      <c r="D52" s="22">
        <v>36</v>
      </c>
      <c r="E52" s="22">
        <v>324</v>
      </c>
      <c r="F52" s="17" t="s">
        <v>1306</v>
      </c>
      <c r="G52" s="16" t="s">
        <v>31</v>
      </c>
      <c r="H52" s="21" t="s">
        <v>27</v>
      </c>
      <c r="I52" s="16" t="s">
        <v>11</v>
      </c>
      <c r="J52" s="16" t="s">
        <v>343</v>
      </c>
      <c r="K52" s="16" t="s">
        <v>379</v>
      </c>
      <c r="L52" s="16"/>
      <c r="M52" s="16"/>
      <c r="N52" s="23" t="str">
        <f t="shared" si="1"/>
        <v xml:space="preserve">http://slimages.macys.com/is/image/MCY/19626293 </v>
      </c>
    </row>
    <row r="53" spans="1:14" x14ac:dyDescent="0.25">
      <c r="A53" s="21" t="s">
        <v>1546</v>
      </c>
      <c r="B53" s="16" t="s">
        <v>1547</v>
      </c>
      <c r="C53" s="17">
        <v>20</v>
      </c>
      <c r="D53" s="22">
        <v>36</v>
      </c>
      <c r="E53" s="22">
        <v>720</v>
      </c>
      <c r="F53" s="17" t="s">
        <v>1306</v>
      </c>
      <c r="G53" s="16" t="s">
        <v>44</v>
      </c>
      <c r="H53" s="21" t="s">
        <v>32</v>
      </c>
      <c r="I53" s="16" t="s">
        <v>11</v>
      </c>
      <c r="J53" s="16" t="s">
        <v>343</v>
      </c>
      <c r="K53" s="16" t="s">
        <v>379</v>
      </c>
      <c r="L53" s="16"/>
      <c r="M53" s="16"/>
      <c r="N53" s="23" t="str">
        <f t="shared" si="1"/>
        <v xml:space="preserve">http://slimages.macys.com/is/image/MCY/19626293 </v>
      </c>
    </row>
    <row r="54" spans="1:14" x14ac:dyDescent="0.25">
      <c r="A54" s="21" t="s">
        <v>1315</v>
      </c>
      <c r="B54" s="16" t="s">
        <v>1316</v>
      </c>
      <c r="C54" s="17">
        <v>12</v>
      </c>
      <c r="D54" s="22">
        <v>36</v>
      </c>
      <c r="E54" s="22">
        <v>432</v>
      </c>
      <c r="F54" s="17" t="s">
        <v>1306</v>
      </c>
      <c r="G54" s="16" t="s">
        <v>44</v>
      </c>
      <c r="H54" s="21" t="s">
        <v>40</v>
      </c>
      <c r="I54" s="16" t="s">
        <v>11</v>
      </c>
      <c r="J54" s="16" t="s">
        <v>343</v>
      </c>
      <c r="K54" s="16" t="s">
        <v>379</v>
      </c>
      <c r="L54" s="16"/>
      <c r="M54" s="16"/>
      <c r="N54" s="23" t="str">
        <f t="shared" si="1"/>
        <v xml:space="preserve">http://slimages.macys.com/is/image/MCY/19626293 </v>
      </c>
    </row>
    <row r="55" spans="1:14" x14ac:dyDescent="0.25">
      <c r="A55" s="21" t="s">
        <v>1319</v>
      </c>
      <c r="B55" s="16" t="s">
        <v>1320</v>
      </c>
      <c r="C55" s="17">
        <v>18</v>
      </c>
      <c r="D55" s="22">
        <v>36</v>
      </c>
      <c r="E55" s="22">
        <v>648</v>
      </c>
      <c r="F55" s="17" t="s">
        <v>1306</v>
      </c>
      <c r="G55" s="16" t="s">
        <v>44</v>
      </c>
      <c r="H55" s="21" t="s">
        <v>55</v>
      </c>
      <c r="I55" s="16" t="s">
        <v>11</v>
      </c>
      <c r="J55" s="16" t="s">
        <v>343</v>
      </c>
      <c r="K55" s="16" t="s">
        <v>379</v>
      </c>
      <c r="L55" s="16"/>
      <c r="M55" s="16"/>
      <c r="N55" s="23" t="str">
        <f t="shared" si="1"/>
        <v xml:space="preserve">http://slimages.macys.com/is/image/MCY/19626293 </v>
      </c>
    </row>
    <row r="56" spans="1:14" x14ac:dyDescent="0.25">
      <c r="A56" s="21" t="s">
        <v>1313</v>
      </c>
      <c r="B56" s="16" t="s">
        <v>1314</v>
      </c>
      <c r="C56" s="17">
        <v>12</v>
      </c>
      <c r="D56" s="22">
        <v>36</v>
      </c>
      <c r="E56" s="22">
        <v>432</v>
      </c>
      <c r="F56" s="17" t="s">
        <v>1306</v>
      </c>
      <c r="G56" s="16" t="s">
        <v>44</v>
      </c>
      <c r="H56" s="21" t="s">
        <v>27</v>
      </c>
      <c r="I56" s="16" t="s">
        <v>11</v>
      </c>
      <c r="J56" s="16" t="s">
        <v>343</v>
      </c>
      <c r="K56" s="16" t="s">
        <v>379</v>
      </c>
      <c r="L56" s="16"/>
      <c r="M56" s="16"/>
      <c r="N56" s="23" t="str">
        <f t="shared" si="1"/>
        <v xml:space="preserve">http://slimages.macys.com/is/image/MCY/19626293 </v>
      </c>
    </row>
    <row r="57" spans="1:14" x14ac:dyDescent="0.25">
      <c r="A57" s="21" t="s">
        <v>1325</v>
      </c>
      <c r="B57" s="16" t="s">
        <v>1326</v>
      </c>
      <c r="C57" s="17">
        <v>8</v>
      </c>
      <c r="D57" s="22">
        <v>36</v>
      </c>
      <c r="E57" s="22">
        <v>288</v>
      </c>
      <c r="F57" s="17" t="s">
        <v>1306</v>
      </c>
      <c r="G57" s="16" t="s">
        <v>86</v>
      </c>
      <c r="H57" s="21" t="s">
        <v>32</v>
      </c>
      <c r="I57" s="16" t="s">
        <v>11</v>
      </c>
      <c r="J57" s="16" t="s">
        <v>343</v>
      </c>
      <c r="K57" s="16" t="s">
        <v>379</v>
      </c>
      <c r="L57" s="16"/>
      <c r="M57" s="16"/>
      <c r="N57" s="23" t="str">
        <f t="shared" si="1"/>
        <v xml:space="preserve">http://slimages.macys.com/is/image/MCY/19626293 </v>
      </c>
    </row>
    <row r="58" spans="1:14" x14ac:dyDescent="0.25">
      <c r="A58" s="21" t="s">
        <v>1550</v>
      </c>
      <c r="B58" s="16" t="s">
        <v>1551</v>
      </c>
      <c r="C58" s="17">
        <v>4</v>
      </c>
      <c r="D58" s="22">
        <v>36</v>
      </c>
      <c r="E58" s="22">
        <v>144</v>
      </c>
      <c r="F58" s="17" t="s">
        <v>1306</v>
      </c>
      <c r="G58" s="16" t="s">
        <v>86</v>
      </c>
      <c r="H58" s="21" t="s">
        <v>40</v>
      </c>
      <c r="I58" s="16" t="s">
        <v>11</v>
      </c>
      <c r="J58" s="16" t="s">
        <v>343</v>
      </c>
      <c r="K58" s="16" t="s">
        <v>379</v>
      </c>
      <c r="L58" s="16"/>
      <c r="M58" s="16"/>
      <c r="N58" s="23" t="str">
        <f t="shared" si="1"/>
        <v xml:space="preserve">http://slimages.macys.com/is/image/MCY/19626293 </v>
      </c>
    </row>
    <row r="59" spans="1:14" x14ac:dyDescent="0.25">
      <c r="A59" s="21" t="s">
        <v>1311</v>
      </c>
      <c r="B59" s="16" t="s">
        <v>1312</v>
      </c>
      <c r="C59" s="17">
        <v>24</v>
      </c>
      <c r="D59" s="22">
        <v>36</v>
      </c>
      <c r="E59" s="22">
        <v>864</v>
      </c>
      <c r="F59" s="17" t="s">
        <v>1306</v>
      </c>
      <c r="G59" s="16" t="s">
        <v>349</v>
      </c>
      <c r="H59" s="21" t="s">
        <v>32</v>
      </c>
      <c r="I59" s="16" t="s">
        <v>11</v>
      </c>
      <c r="J59" s="16" t="s">
        <v>343</v>
      </c>
      <c r="K59" s="16" t="s">
        <v>379</v>
      </c>
      <c r="L59" s="16"/>
      <c r="M59" s="16"/>
      <c r="N59" s="23" t="str">
        <f t="shared" si="1"/>
        <v xml:space="preserve">http://slimages.macys.com/is/image/MCY/19626293 </v>
      </c>
    </row>
    <row r="60" spans="1:14" x14ac:dyDescent="0.25">
      <c r="A60" s="21" t="s">
        <v>1317</v>
      </c>
      <c r="B60" s="16" t="s">
        <v>1318</v>
      </c>
      <c r="C60" s="17">
        <v>27</v>
      </c>
      <c r="D60" s="22">
        <v>36</v>
      </c>
      <c r="E60" s="22">
        <v>972</v>
      </c>
      <c r="F60" s="17" t="s">
        <v>1306</v>
      </c>
      <c r="G60" s="16" t="s">
        <v>349</v>
      </c>
      <c r="H60" s="21" t="s">
        <v>40</v>
      </c>
      <c r="I60" s="16" t="s">
        <v>11</v>
      </c>
      <c r="J60" s="16" t="s">
        <v>343</v>
      </c>
      <c r="K60" s="16" t="s">
        <v>379</v>
      </c>
      <c r="L60" s="16"/>
      <c r="M60" s="16"/>
      <c r="N60" s="23" t="str">
        <f t="shared" si="1"/>
        <v xml:space="preserve">http://slimages.macys.com/is/image/MCY/19626293 </v>
      </c>
    </row>
    <row r="61" spans="1:14" x14ac:dyDescent="0.25">
      <c r="A61" s="21" t="s">
        <v>1309</v>
      </c>
      <c r="B61" s="16" t="s">
        <v>1310</v>
      </c>
      <c r="C61" s="17">
        <v>6</v>
      </c>
      <c r="D61" s="22">
        <v>36</v>
      </c>
      <c r="E61" s="22">
        <v>216</v>
      </c>
      <c r="F61" s="17" t="s">
        <v>1306</v>
      </c>
      <c r="G61" s="16" t="s">
        <v>349</v>
      </c>
      <c r="H61" s="21" t="s">
        <v>55</v>
      </c>
      <c r="I61" s="16" t="s">
        <v>11</v>
      </c>
      <c r="J61" s="16" t="s">
        <v>343</v>
      </c>
      <c r="K61" s="16" t="s">
        <v>379</v>
      </c>
      <c r="L61" s="16"/>
      <c r="M61" s="16"/>
      <c r="N61" s="23" t="str">
        <f t="shared" si="1"/>
        <v xml:space="preserve">http://slimages.macys.com/is/image/MCY/19626293 </v>
      </c>
    </row>
    <row r="62" spans="1:14" x14ac:dyDescent="0.25">
      <c r="A62" s="21" t="s">
        <v>1307</v>
      </c>
      <c r="B62" s="16" t="s">
        <v>1308</v>
      </c>
      <c r="C62" s="17">
        <v>9</v>
      </c>
      <c r="D62" s="22">
        <v>36</v>
      </c>
      <c r="E62" s="22">
        <v>324</v>
      </c>
      <c r="F62" s="17" t="s">
        <v>1306</v>
      </c>
      <c r="G62" s="16" t="s">
        <v>349</v>
      </c>
      <c r="H62" s="21" t="s">
        <v>27</v>
      </c>
      <c r="I62" s="16" t="s">
        <v>11</v>
      </c>
      <c r="J62" s="16" t="s">
        <v>343</v>
      </c>
      <c r="K62" s="16" t="s">
        <v>379</v>
      </c>
      <c r="L62" s="16"/>
      <c r="M62" s="16"/>
      <c r="N62" s="23" t="str">
        <f t="shared" si="1"/>
        <v xml:space="preserve">http://slimages.macys.com/is/image/MCY/19626293 </v>
      </c>
    </row>
    <row r="63" spans="1:14" x14ac:dyDescent="0.25">
      <c r="A63" s="21" t="s">
        <v>1302</v>
      </c>
      <c r="B63" s="16" t="s">
        <v>1303</v>
      </c>
      <c r="C63" s="17">
        <v>8</v>
      </c>
      <c r="D63" s="22">
        <v>36</v>
      </c>
      <c r="E63" s="22">
        <v>288</v>
      </c>
      <c r="F63" s="17" t="s">
        <v>408</v>
      </c>
      <c r="G63" s="16" t="s">
        <v>349</v>
      </c>
      <c r="H63" s="21" t="s">
        <v>32</v>
      </c>
      <c r="I63" s="16" t="s">
        <v>11</v>
      </c>
      <c r="J63" s="16" t="s">
        <v>343</v>
      </c>
      <c r="K63" s="16" t="s">
        <v>379</v>
      </c>
      <c r="L63" s="16"/>
      <c r="M63" s="16"/>
      <c r="N63" s="23" t="str">
        <f>HYPERLINK("http://slimages.macys.com/is/image/MCY/19626301 ")</f>
        <v xml:space="preserve">http://slimages.macys.com/is/image/MCY/19626301 </v>
      </c>
    </row>
  </sheetData>
  <sortState ref="A2:N63">
    <sortCondition ref="B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SUMMARY</vt:lpstr>
      <vt:lpstr>14440178</vt:lpstr>
      <vt:lpstr>14436042</vt:lpstr>
      <vt:lpstr>14418920</vt:lpstr>
      <vt:lpstr>14316398</vt:lpstr>
      <vt:lpstr>14334819</vt:lpstr>
      <vt:lpstr>14335074</vt:lpstr>
      <vt:lpstr>14347145</vt:lpstr>
      <vt:lpstr>14351541</vt:lpstr>
      <vt:lpstr>14351546</vt:lpstr>
      <vt:lpstr>14360720</vt:lpstr>
      <vt:lpstr>14376133</vt:lpstr>
      <vt:lpstr>14404660</vt:lpstr>
      <vt:lpstr>SUMMARY!Print_Area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</dc:creator>
  <cp:lastModifiedBy>Dators</cp:lastModifiedBy>
  <dcterms:created xsi:type="dcterms:W3CDTF">2023-01-18T19:37:06Z</dcterms:created>
  <dcterms:modified xsi:type="dcterms:W3CDTF">2023-10-20T13:28:48Z</dcterms:modified>
</cp:coreProperties>
</file>